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275" windowWidth="11580" windowHeight="435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  <definedName name="_xlnm.Print_Area" localSheetId="0">'аналіз фінансування'!$A$1:$I$151</definedName>
  </definedNames>
  <calcPr fullCalcOnLoad="1"/>
</workbook>
</file>

<file path=xl/sharedStrings.xml><?xml version="1.0" encoding="utf-8"?>
<sst xmlns="http://schemas.openxmlformats.org/spreadsheetml/2006/main" count="156" uniqueCount="111">
  <si>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</si>
  <si>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</si>
  <si>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</si>
  <si>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</si>
  <si>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</si>
  <si>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</si>
  <si>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</si>
  <si>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</si>
  <si>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</si>
  <si>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</si>
  <si>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</si>
  <si>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</si>
  <si>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</si>
  <si>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</si>
  <si>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</si>
  <si>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</si>
  <si>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</si>
  <si>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</si>
  <si>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</si>
  <si>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</si>
  <si>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</si>
  <si>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</si>
  <si>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</si>
  <si>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</si>
  <si>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</si>
  <si>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</si>
  <si>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</si>
  <si>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Обслуговування боргу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</si>
  <si>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</si>
  <si>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</si>
  <si>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</si>
  <si>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</si>
  <si>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</si>
  <si>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</si>
  <si>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</si>
  <si>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</si>
  <si>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</si>
  <si>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</si>
  <si>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</si>
  <si>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</si>
  <si>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</si>
  <si>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</si>
  <si>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</si>
  <si>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</si>
  <si>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</si>
  <si>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</si>
  <si>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</si>
  <si>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</si>
  <si>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</si>
  <si>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</si>
  <si>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</si>
  <si>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</si>
  <si>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</si>
  <si>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</si>
  <si>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</si>
  <si>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</si>
  <si>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</si>
  <si>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</si>
  <si>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</si>
  <si>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Міськ. прогр. розвитку туризму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</si>
  <si>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</si>
  <si>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</si>
  <si>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Проведення виборів (250203)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</si>
  <si>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</si>
  <si>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</si>
  <si>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</si>
  <si>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</si>
  <si>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</si>
  <si>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</si>
  <si>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</si>
  <si>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</si>
  <si>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</si>
  <si>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</si>
  <si>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Програма забезпечення орендованим житлом в м.Черкаси молодих спеціалістів - випускників вищих навчальних закладів охорони здоров'я</t>
  </si>
  <si>
    <t>Міськ. прогр. управління місцевим боргом та забезпечення обігу муніципальних облігацій</t>
  </si>
  <si>
    <t>Програма стимулювання впровадження новацій у сфері муніципальних послуг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</si>
  <si>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</si>
  <si>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</si>
  <si>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</si>
  <si>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</si>
  <si>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</si>
  <si>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</si>
  <si>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</si>
  <si>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</si>
  <si>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</si>
  <si>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</si>
  <si>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</si>
  <si>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</si>
  <si>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</si>
  <si>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</si>
  <si>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</si>
  <si>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</si>
  <si>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</si>
  <si>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</si>
  <si>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</si>
  <si>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</si>
  <si>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</si>
  <si>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</si>
  <si>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</si>
  <si>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</si>
  <si>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</si>
  <si>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</si>
  <si>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</si>
  <si>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план на 1 квартал, тис.грн.</t>
  </si>
  <si>
    <t>план на рік, тис.грн.</t>
  </si>
  <si>
    <t>Відсоток виконання плану 1-го кварталу</t>
  </si>
  <si>
    <t>Відсоток виконання річного плану</t>
  </si>
  <si>
    <t>Відхилення від тимчасового плану 1-го кварталу, тис.грн.</t>
  </si>
  <si>
    <t>Відхилення від річного плану, тис.грн.</t>
  </si>
  <si>
    <t>Надання пільгового довгострокового кредиту</t>
  </si>
  <si>
    <t>Аналіз використання коштів міського бюджету за 2014 рік станом на 31.03.2014 року</t>
  </si>
</sst>
</file>

<file path=xl/styles.xml><?xml version="1.0" encoding="utf-8"?>
<styleSheet xmlns="http://schemas.openxmlformats.org/spreadsheetml/2006/main">
  <numFmts count="4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%"/>
    <numFmt numFmtId="189" formatCode="0.0"/>
    <numFmt numFmtId="190" formatCode="0.0000000000"/>
    <numFmt numFmtId="191" formatCode="0.000000000"/>
    <numFmt numFmtId="192" formatCode="0.00000000"/>
    <numFmt numFmtId="193" formatCode="0.0000000"/>
    <numFmt numFmtId="194" formatCode="0.000000"/>
    <numFmt numFmtId="195" formatCode="0.00000"/>
    <numFmt numFmtId="196" formatCode="0.0000"/>
    <numFmt numFmtId="197" formatCode="0.00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#,##0.0"/>
    <numFmt numFmtId="202" formatCode="#,##0.000"/>
    <numFmt numFmtId="203" formatCode="#,##0.0000"/>
    <numFmt numFmtId="204" formatCode="#,##0.00000"/>
  </numFmts>
  <fonts count="6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0.5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4.2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.75"/>
      <color indexed="8"/>
      <name val="Arial Cyr"/>
      <family val="0"/>
    </font>
    <font>
      <i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9" borderId="0" applyNumberFormat="0" applyBorder="0" applyAlignment="0" applyProtection="0"/>
    <xf numFmtId="0" fontId="39" fillId="7" borderId="1" applyNumberFormat="0" applyAlignment="0" applyProtection="0"/>
    <xf numFmtId="0" fontId="40" fillId="20" borderId="2" applyNumberFormat="0" applyAlignment="0" applyProtection="0"/>
    <xf numFmtId="0" fontId="41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1" borderId="7" applyNumberFormat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9" fillId="3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4" borderId="0" applyNumberFormat="0" applyBorder="0" applyAlignment="0" applyProtection="0"/>
  </cellStyleXfs>
  <cellXfs count="129">
    <xf numFmtId="0" fontId="0" fillId="0" borderId="0" xfId="0" applyAlignment="1">
      <alignment/>
    </xf>
    <xf numFmtId="189" fontId="4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189" fontId="5" fillId="24" borderId="11" xfId="0" applyNumberFormat="1" applyFont="1" applyFill="1" applyBorder="1" applyAlignment="1">
      <alignment/>
    </xf>
    <xf numFmtId="0" fontId="7" fillId="0" borderId="0" xfId="0" applyFont="1" applyAlignment="1">
      <alignment/>
    </xf>
    <xf numFmtId="189" fontId="7" fillId="0" borderId="0" xfId="0" applyNumberFormat="1" applyFont="1" applyAlignment="1">
      <alignment/>
    </xf>
    <xf numFmtId="189" fontId="5" fillId="0" borderId="1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12" xfId="0" applyFont="1" applyFill="1" applyBorder="1" applyAlignment="1">
      <alignment wrapText="1"/>
    </xf>
    <xf numFmtId="0" fontId="9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2" fontId="4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6" fillId="24" borderId="13" xfId="0" applyFont="1" applyFill="1" applyBorder="1" applyAlignment="1">
      <alignment wrapText="1"/>
    </xf>
    <xf numFmtId="189" fontId="5" fillId="0" borderId="14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0" fillId="0" borderId="0" xfId="53" applyFont="1" applyBorder="1" applyAlignment="1" applyProtection="1">
      <alignment vertical="center" wrapText="1"/>
      <protection/>
    </xf>
    <xf numFmtId="0" fontId="6" fillId="0" borderId="10" xfId="0" applyFont="1" applyFill="1" applyBorder="1" applyAlignment="1">
      <alignment wrapText="1"/>
    </xf>
    <xf numFmtId="189" fontId="5" fillId="0" borderId="15" xfId="0" applyNumberFormat="1" applyFont="1" applyFill="1" applyBorder="1" applyAlignment="1">
      <alignment/>
    </xf>
    <xf numFmtId="189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189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6" fillId="0" borderId="12" xfId="0" applyFont="1" applyFill="1" applyBorder="1" applyAlignment="1">
      <alignment wrapText="1"/>
    </xf>
    <xf numFmtId="189" fontId="6" fillId="0" borderId="16" xfId="0" applyNumberFormat="1" applyFont="1" applyFill="1" applyBorder="1" applyAlignment="1">
      <alignment/>
    </xf>
    <xf numFmtId="189" fontId="6" fillId="24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9" fillId="0" borderId="0" xfId="0" applyFont="1" applyFill="1" applyBorder="1" applyAlignment="1">
      <alignment horizontal="center" wrapText="1"/>
    </xf>
    <xf numFmtId="0" fontId="5" fillId="24" borderId="13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6" fillId="0" borderId="12" xfId="0" applyFont="1" applyFill="1" applyBorder="1" applyAlignment="1">
      <alignment horizontal="left" wrapText="1"/>
    </xf>
    <xf numFmtId="0" fontId="6" fillId="0" borderId="13" xfId="0" applyFont="1" applyFill="1" applyBorder="1" applyAlignment="1">
      <alignment wrapText="1"/>
    </xf>
    <xf numFmtId="0" fontId="6" fillId="0" borderId="17" xfId="0" applyFont="1" applyFill="1" applyBorder="1" applyAlignment="1">
      <alignment wrapText="1"/>
    </xf>
    <xf numFmtId="0" fontId="6" fillId="24" borderId="17" xfId="0" applyFont="1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4" fillId="0" borderId="10" xfId="0" applyNumberFormat="1" applyFont="1" applyFill="1" applyBorder="1" applyAlignment="1">
      <alignment horizontal="center"/>
    </xf>
    <xf numFmtId="189" fontId="5" fillId="24" borderId="11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wrapText="1"/>
    </xf>
    <xf numFmtId="0" fontId="6" fillId="0" borderId="16" xfId="0" applyFont="1" applyFill="1" applyBorder="1" applyAlignment="1">
      <alignment wrapText="1"/>
    </xf>
    <xf numFmtId="2" fontId="5" fillId="24" borderId="1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89" fontId="5" fillId="0" borderId="16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6" fillId="0" borderId="11" xfId="0" applyNumberFormat="1" applyFont="1" applyFill="1" applyBorder="1" applyAlignment="1">
      <alignment/>
    </xf>
    <xf numFmtId="201" fontId="4" fillId="0" borderId="12" xfId="0" applyNumberFormat="1" applyFont="1" applyFill="1" applyBorder="1" applyAlignment="1">
      <alignment wrapText="1"/>
    </xf>
    <xf numFmtId="201" fontId="4" fillId="0" borderId="12" xfId="0" applyNumberFormat="1" applyFont="1" applyFill="1" applyBorder="1" applyAlignment="1">
      <alignment/>
    </xf>
    <xf numFmtId="201" fontId="4" fillId="0" borderId="10" xfId="0" applyNumberFormat="1" applyFont="1" applyFill="1" applyBorder="1" applyAlignment="1">
      <alignment/>
    </xf>
    <xf numFmtId="201" fontId="5" fillId="24" borderId="13" xfId="0" applyNumberFormat="1" applyFont="1" applyFill="1" applyBorder="1" applyAlignment="1">
      <alignment wrapText="1"/>
    </xf>
    <xf numFmtId="201" fontId="5" fillId="24" borderId="13" xfId="0" applyNumberFormat="1" applyFont="1" applyFill="1" applyBorder="1" applyAlignment="1">
      <alignment/>
    </xf>
    <xf numFmtId="201" fontId="5" fillId="24" borderId="11" xfId="0" applyNumberFormat="1" applyFont="1" applyFill="1" applyBorder="1" applyAlignment="1">
      <alignment/>
    </xf>
    <xf numFmtId="201" fontId="4" fillId="0" borderId="10" xfId="0" applyNumberFormat="1" applyFont="1" applyFill="1" applyBorder="1" applyAlignment="1">
      <alignment/>
    </xf>
    <xf numFmtId="201" fontId="4" fillId="0" borderId="10" xfId="0" applyNumberFormat="1" applyFont="1" applyFill="1" applyBorder="1" applyAlignment="1">
      <alignment horizontal="right"/>
    </xf>
    <xf numFmtId="201" fontId="5" fillId="24" borderId="11" xfId="0" applyNumberFormat="1" applyFont="1" applyFill="1" applyBorder="1" applyAlignment="1">
      <alignment horizontal="right"/>
    </xf>
    <xf numFmtId="201" fontId="6" fillId="0" borderId="12" xfId="0" applyNumberFormat="1" applyFont="1" applyFill="1" applyBorder="1" applyAlignment="1">
      <alignment wrapText="1"/>
    </xf>
    <xf numFmtId="201" fontId="6" fillId="0" borderId="12" xfId="0" applyNumberFormat="1" applyFont="1" applyFill="1" applyBorder="1" applyAlignment="1">
      <alignment/>
    </xf>
    <xf numFmtId="201" fontId="6" fillId="0" borderId="10" xfId="0" applyNumberFormat="1" applyFont="1" applyFill="1" applyBorder="1" applyAlignment="1">
      <alignment/>
    </xf>
    <xf numFmtId="201" fontId="6" fillId="24" borderId="13" xfId="0" applyNumberFormat="1" applyFont="1" applyFill="1" applyBorder="1" applyAlignment="1">
      <alignment wrapText="1"/>
    </xf>
    <xf numFmtId="201" fontId="6" fillId="0" borderId="13" xfId="0" applyNumberFormat="1" applyFont="1" applyFill="1" applyBorder="1" applyAlignment="1">
      <alignment wrapText="1"/>
    </xf>
    <xf numFmtId="201" fontId="5" fillId="0" borderId="13" xfId="0" applyNumberFormat="1" applyFont="1" applyFill="1" applyBorder="1" applyAlignment="1">
      <alignment/>
    </xf>
    <xf numFmtId="201" fontId="5" fillId="0" borderId="11" xfId="0" applyNumberFormat="1" applyFont="1" applyFill="1" applyBorder="1" applyAlignment="1">
      <alignment/>
    </xf>
    <xf numFmtId="201" fontId="4" fillId="0" borderId="12" xfId="0" applyNumberFormat="1" applyFont="1" applyFill="1" applyBorder="1" applyAlignment="1">
      <alignment horizontal="right"/>
    </xf>
    <xf numFmtId="201" fontId="6" fillId="0" borderId="12" xfId="0" applyNumberFormat="1" applyFont="1" applyFill="1" applyBorder="1" applyAlignment="1">
      <alignment horizontal="left" wrapText="1"/>
    </xf>
    <xf numFmtId="201" fontId="5" fillId="0" borderId="12" xfId="0" applyNumberFormat="1" applyFont="1" applyFill="1" applyBorder="1" applyAlignment="1">
      <alignment/>
    </xf>
    <xf numFmtId="201" fontId="5" fillId="0" borderId="10" xfId="0" applyNumberFormat="1" applyFont="1" applyFill="1" applyBorder="1" applyAlignment="1">
      <alignment/>
    </xf>
    <xf numFmtId="201" fontId="6" fillId="0" borderId="13" xfId="0" applyNumberFormat="1" applyFont="1" applyFill="1" applyBorder="1" applyAlignment="1">
      <alignment/>
    </xf>
    <xf numFmtId="201" fontId="6" fillId="0" borderId="11" xfId="0" applyNumberFormat="1" applyFont="1" applyFill="1" applyBorder="1" applyAlignment="1">
      <alignment/>
    </xf>
    <xf numFmtId="201" fontId="8" fillId="0" borderId="12" xfId="0" applyNumberFormat="1" applyFont="1" applyFill="1" applyBorder="1" applyAlignment="1">
      <alignment wrapText="1"/>
    </xf>
    <xf numFmtId="201" fontId="5" fillId="24" borderId="13" xfId="0" applyNumberFormat="1" applyFont="1" applyFill="1" applyBorder="1" applyAlignment="1">
      <alignment horizontal="right"/>
    </xf>
    <xf numFmtId="201" fontId="6" fillId="0" borderId="17" xfId="0" applyNumberFormat="1" applyFont="1" applyFill="1" applyBorder="1" applyAlignment="1">
      <alignment wrapText="1"/>
    </xf>
    <xf numFmtId="201" fontId="5" fillId="0" borderId="17" xfId="0" applyNumberFormat="1" applyFont="1" applyFill="1" applyBorder="1" applyAlignment="1">
      <alignment/>
    </xf>
    <xf numFmtId="201" fontId="5" fillId="0" borderId="14" xfId="0" applyNumberFormat="1" applyFont="1" applyFill="1" applyBorder="1" applyAlignment="1">
      <alignment/>
    </xf>
    <xf numFmtId="201" fontId="6" fillId="24" borderId="17" xfId="0" applyNumberFormat="1" applyFont="1" applyFill="1" applyBorder="1" applyAlignment="1">
      <alignment wrapText="1"/>
    </xf>
    <xf numFmtId="201" fontId="5" fillId="24" borderId="17" xfId="0" applyNumberFormat="1" applyFont="1" applyFill="1" applyBorder="1" applyAlignment="1">
      <alignment/>
    </xf>
    <xf numFmtId="201" fontId="5" fillId="24" borderId="14" xfId="0" applyNumberFormat="1" applyFont="1" applyFill="1" applyBorder="1" applyAlignment="1">
      <alignment/>
    </xf>
    <xf numFmtId="201" fontId="6" fillId="0" borderId="14" xfId="0" applyNumberFormat="1" applyFont="1" applyFill="1" applyBorder="1" applyAlignment="1">
      <alignment wrapText="1"/>
    </xf>
    <xf numFmtId="201" fontId="5" fillId="0" borderId="15" xfId="0" applyNumberFormat="1" applyFont="1" applyFill="1" applyBorder="1" applyAlignment="1">
      <alignment/>
    </xf>
    <xf numFmtId="201" fontId="6" fillId="0" borderId="10" xfId="0" applyNumberFormat="1" applyFont="1" applyFill="1" applyBorder="1" applyAlignment="1">
      <alignment wrapText="1"/>
    </xf>
    <xf numFmtId="201" fontId="4" fillId="0" borderId="10" xfId="0" applyNumberFormat="1" applyFont="1" applyFill="1" applyBorder="1" applyAlignment="1">
      <alignment wrapText="1"/>
    </xf>
    <xf numFmtId="201" fontId="4" fillId="0" borderId="15" xfId="0" applyNumberFormat="1" applyFont="1" applyFill="1" applyBorder="1" applyAlignment="1">
      <alignment/>
    </xf>
    <xf numFmtId="201" fontId="6" fillId="0" borderId="15" xfId="0" applyNumberFormat="1" applyFont="1" applyFill="1" applyBorder="1" applyAlignment="1">
      <alignment/>
    </xf>
    <xf numFmtId="201" fontId="6" fillId="0" borderId="16" xfId="0" applyNumberFormat="1" applyFont="1" applyFill="1" applyBorder="1" applyAlignment="1">
      <alignment/>
    </xf>
    <xf numFmtId="201" fontId="0" fillId="0" borderId="13" xfId="0" applyNumberFormat="1" applyFont="1" applyFill="1" applyBorder="1" applyAlignment="1">
      <alignment wrapText="1"/>
    </xf>
    <xf numFmtId="201" fontId="0" fillId="0" borderId="11" xfId="0" applyNumberFormat="1" applyFont="1" applyFill="1" applyBorder="1" applyAlignment="1">
      <alignment/>
    </xf>
    <xf numFmtId="201" fontId="5" fillId="0" borderId="17" xfId="0" applyNumberFormat="1" applyFont="1" applyFill="1" applyBorder="1" applyAlignment="1">
      <alignment wrapText="1"/>
    </xf>
    <xf numFmtId="201" fontId="5" fillId="0" borderId="12" xfId="0" applyNumberFormat="1" applyFont="1" applyFill="1" applyBorder="1" applyAlignment="1">
      <alignment wrapText="1"/>
    </xf>
    <xf numFmtId="201" fontId="5" fillId="0" borderId="18" xfId="0" applyNumberFormat="1" applyFont="1" applyFill="1" applyBorder="1" applyAlignment="1">
      <alignment/>
    </xf>
    <xf numFmtId="201" fontId="6" fillId="24" borderId="11" xfId="0" applyNumberFormat="1" applyFont="1" applyFill="1" applyBorder="1" applyAlignment="1">
      <alignment/>
    </xf>
    <xf numFmtId="0" fontId="4" fillId="0" borderId="14" xfId="0" applyFont="1" applyFill="1" applyBorder="1" applyAlignment="1">
      <alignment horizontal="left" wrapText="1"/>
    </xf>
    <xf numFmtId="0" fontId="6" fillId="24" borderId="16" xfId="0" applyFont="1" applyFill="1" applyBorder="1" applyAlignment="1">
      <alignment wrapText="1"/>
    </xf>
    <xf numFmtId="201" fontId="5" fillId="24" borderId="16" xfId="0" applyNumberFormat="1" applyFont="1" applyFill="1" applyBorder="1" applyAlignment="1">
      <alignment/>
    </xf>
    <xf numFmtId="189" fontId="5" fillId="24" borderId="16" xfId="0" applyNumberFormat="1" applyFont="1" applyFill="1" applyBorder="1" applyAlignment="1">
      <alignment/>
    </xf>
    <xf numFmtId="189" fontId="4" fillId="0" borderId="14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left" wrapText="1"/>
    </xf>
    <xf numFmtId="0" fontId="4" fillId="0" borderId="16" xfId="0" applyFont="1" applyFill="1" applyBorder="1" applyAlignment="1">
      <alignment wrapText="1"/>
    </xf>
    <xf numFmtId="201" fontId="4" fillId="0" borderId="14" xfId="0" applyNumberFormat="1" applyFont="1" applyFill="1" applyBorder="1" applyAlignment="1">
      <alignment/>
    </xf>
    <xf numFmtId="201" fontId="4" fillId="0" borderId="16" xfId="0" applyNumberFormat="1" applyFont="1" applyFill="1" applyBorder="1" applyAlignment="1">
      <alignment wrapText="1"/>
    </xf>
    <xf numFmtId="201" fontId="4" fillId="0" borderId="14" xfId="0" applyNumberFormat="1" applyFont="1" applyFill="1" applyBorder="1" applyAlignment="1">
      <alignment wrapText="1"/>
    </xf>
    <xf numFmtId="188" fontId="0" fillId="0" borderId="0" xfId="0" applyNumberFormat="1" applyFont="1" applyFill="1" applyBorder="1" applyAlignment="1">
      <alignment/>
    </xf>
    <xf numFmtId="204" fontId="13" fillId="0" borderId="0" xfId="0" applyNumberFormat="1" applyFont="1" applyFill="1" applyBorder="1" applyAlignment="1">
      <alignment/>
    </xf>
    <xf numFmtId="201" fontId="0" fillId="0" borderId="0" xfId="53" applyNumberFormat="1" applyFont="1" applyBorder="1" applyAlignment="1" applyProtection="1">
      <alignment vertical="center" wrapText="1"/>
      <protection/>
    </xf>
    <xf numFmtId="0" fontId="0" fillId="17" borderId="0" xfId="0" applyFont="1" applyFill="1" applyAlignment="1">
      <alignment/>
    </xf>
    <xf numFmtId="201" fontId="6" fillId="24" borderId="13" xfId="0" applyNumberFormat="1" applyFont="1" applyFill="1" applyBorder="1" applyAlignment="1">
      <alignment/>
    </xf>
    <xf numFmtId="189" fontId="4" fillId="0" borderId="10" xfId="0" applyNumberFormat="1" applyFont="1" applyFill="1" applyBorder="1" applyAlignment="1">
      <alignment horizontal="right"/>
    </xf>
    <xf numFmtId="201" fontId="36" fillId="0" borderId="12" xfId="0" applyNumberFormat="1" applyFont="1" applyFill="1" applyBorder="1" applyAlignment="1">
      <alignment/>
    </xf>
    <xf numFmtId="189" fontId="36" fillId="0" borderId="10" xfId="0" applyNumberFormat="1" applyFont="1" applyFill="1" applyBorder="1" applyAlignment="1">
      <alignment/>
    </xf>
    <xf numFmtId="0" fontId="36" fillId="0" borderId="12" xfId="0" applyFont="1" applyFill="1" applyBorder="1" applyAlignment="1">
      <alignment horizontal="left" wrapText="1" indent="4"/>
    </xf>
    <xf numFmtId="201" fontId="36" fillId="0" borderId="12" xfId="0" applyNumberFormat="1" applyFont="1" applyFill="1" applyBorder="1" applyAlignment="1">
      <alignment wrapText="1"/>
    </xf>
    <xf numFmtId="0" fontId="0" fillId="0" borderId="0" xfId="0" applyFont="1" applyFill="1" applyAlignment="1">
      <alignment/>
    </xf>
    <xf numFmtId="201" fontId="5" fillId="24" borderId="13" xfId="0" applyNumberFormat="1" applyFont="1" applyFill="1" applyBorder="1" applyAlignment="1">
      <alignment vertical="center" wrapText="1"/>
    </xf>
    <xf numFmtId="189" fontId="61" fillId="0" borderId="10" xfId="0" applyNumberFormat="1" applyFont="1" applyFill="1" applyBorder="1" applyAlignment="1">
      <alignment/>
    </xf>
    <xf numFmtId="189" fontId="62" fillId="24" borderId="11" xfId="0" applyNumberFormat="1" applyFont="1" applyFill="1" applyBorder="1" applyAlignment="1">
      <alignment/>
    </xf>
    <xf numFmtId="189" fontId="62" fillId="0" borderId="10" xfId="0" applyNumberFormat="1" applyFont="1" applyFill="1" applyBorder="1" applyAlignment="1">
      <alignment/>
    </xf>
    <xf numFmtId="189" fontId="62" fillId="25" borderId="10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"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011"/>
          <c:y val="0.1515"/>
          <c:w val="0.97825"/>
          <c:h val="0.757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фінансування'!$C$87:$C$91</c:f>
              <c:numCache>
                <c:ptCount val="4"/>
                <c:pt idx="0">
                  <c:v>44816.4</c:v>
                </c:pt>
                <c:pt idx="1">
                  <c:v>38623.9</c:v>
                </c:pt>
                <c:pt idx="2">
                  <c:v>1866.3</c:v>
                </c:pt>
                <c:pt idx="3">
                  <c:v>4326.2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фінансування'!$D$87:$D$91</c:f>
              <c:numCache>
                <c:ptCount val="4"/>
                <c:pt idx="0">
                  <c:v>8340.199999999999</c:v>
                </c:pt>
                <c:pt idx="1">
                  <c:v>7264.700000000001</c:v>
                </c:pt>
                <c:pt idx="2">
                  <c:v>243.8</c:v>
                </c:pt>
                <c:pt idx="3">
                  <c:v>831.6999999999982</c:v>
                </c:pt>
              </c:numCache>
            </c:numRef>
          </c:val>
          <c:shape val="box"/>
        </c:ser>
        <c:shape val="box"/>
        <c:axId val="3972316"/>
        <c:axId val="28647229"/>
      </c:bar3DChart>
      <c:catAx>
        <c:axId val="39723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8647229"/>
        <c:crosses val="autoZero"/>
        <c:auto val="1"/>
        <c:lblOffset val="100"/>
        <c:tickLblSkip val="1"/>
        <c:noMultiLvlLbl val="0"/>
      </c:catAx>
      <c:valAx>
        <c:axId val="286472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7231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156"/>
          <c:w val="0.97825"/>
          <c:h val="0.74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фінансування'!$C$6:$C$12</c:f>
              <c:numCache>
                <c:ptCount val="7"/>
                <c:pt idx="0">
                  <c:v>279531.5</c:v>
                </c:pt>
                <c:pt idx="1">
                  <c:v>220378.6</c:v>
                </c:pt>
                <c:pt idx="2">
                  <c:v>44.6</c:v>
                </c:pt>
                <c:pt idx="3">
                  <c:v>17103.7</c:v>
                </c:pt>
                <c:pt idx="4">
                  <c:v>39445.5</c:v>
                </c:pt>
                <c:pt idx="5">
                  <c:v>281.8</c:v>
                </c:pt>
                <c:pt idx="6">
                  <c:v>2277.299999999991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фінансування'!$D$6:$D$12</c:f>
              <c:numCache>
                <c:ptCount val="7"/>
                <c:pt idx="0">
                  <c:v>50516.10000000001</c:v>
                </c:pt>
                <c:pt idx="1">
                  <c:v>43900.3</c:v>
                </c:pt>
                <c:pt idx="2">
                  <c:v>0.5</c:v>
                </c:pt>
                <c:pt idx="3">
                  <c:v>3799.3000000000006</c:v>
                </c:pt>
                <c:pt idx="4">
                  <c:v>2699.2</c:v>
                </c:pt>
                <c:pt idx="5">
                  <c:v>24.7</c:v>
                </c:pt>
                <c:pt idx="6">
                  <c:v>92.10000000000973</c:v>
                </c:pt>
              </c:numCache>
            </c:numRef>
          </c:val>
          <c:shape val="box"/>
        </c:ser>
        <c:shape val="box"/>
        <c:axId val="33685702"/>
        <c:axId val="38936503"/>
      </c:bar3DChart>
      <c:catAx>
        <c:axId val="336857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936503"/>
        <c:crosses val="autoZero"/>
        <c:auto val="1"/>
        <c:lblOffset val="100"/>
        <c:tickLblSkip val="1"/>
        <c:noMultiLvlLbl val="0"/>
      </c:catAx>
      <c:valAx>
        <c:axId val="389365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68570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35"/>
          <c:w val="0.979"/>
          <c:h val="0.748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фінансування'!$C$17:$C$23</c:f>
              <c:numCache>
                <c:ptCount val="7"/>
                <c:pt idx="0">
                  <c:v>176050.5</c:v>
                </c:pt>
                <c:pt idx="1">
                  <c:v>133077.8</c:v>
                </c:pt>
                <c:pt idx="2">
                  <c:v>7565.3</c:v>
                </c:pt>
                <c:pt idx="3">
                  <c:v>2836.6</c:v>
                </c:pt>
                <c:pt idx="4">
                  <c:v>19349.6</c:v>
                </c:pt>
                <c:pt idx="5">
                  <c:v>1388.5</c:v>
                </c:pt>
                <c:pt idx="6">
                  <c:v>11832.700000000012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фінансування'!$D$17:$D$23</c:f>
              <c:numCache>
                <c:ptCount val="7"/>
                <c:pt idx="0">
                  <c:v>36193.9</c:v>
                </c:pt>
                <c:pt idx="1">
                  <c:v>29320.4</c:v>
                </c:pt>
                <c:pt idx="2">
                  <c:v>1024.2</c:v>
                </c:pt>
                <c:pt idx="3">
                  <c:v>494.3</c:v>
                </c:pt>
                <c:pt idx="4">
                  <c:v>2804.7</c:v>
                </c:pt>
                <c:pt idx="5">
                  <c:v>253.8</c:v>
                </c:pt>
                <c:pt idx="6">
                  <c:v>2296.5</c:v>
                </c:pt>
              </c:numCache>
            </c:numRef>
          </c:val>
          <c:shape val="box"/>
        </c:ser>
        <c:shape val="box"/>
        <c:axId val="52892752"/>
        <c:axId val="21119185"/>
      </c:bar3DChart>
      <c:catAx>
        <c:axId val="528927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119185"/>
        <c:crosses val="autoZero"/>
        <c:auto val="1"/>
        <c:lblOffset val="100"/>
        <c:tickLblSkip val="1"/>
        <c:noMultiLvlLbl val="0"/>
      </c:catAx>
      <c:valAx>
        <c:axId val="211191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89275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9"/>
          <c:y val="0.9215"/>
          <c:w val="0.302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675"/>
          <c:w val="0.97875"/>
          <c:h val="0.743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фінансування'!$C$31:$C$37</c:f>
              <c:numCache>
                <c:ptCount val="6"/>
                <c:pt idx="0">
                  <c:v>38286.9</c:v>
                </c:pt>
                <c:pt idx="1">
                  <c:v>28976.1</c:v>
                </c:pt>
                <c:pt idx="2">
                  <c:v>1732.8</c:v>
                </c:pt>
                <c:pt idx="3">
                  <c:v>715.3</c:v>
                </c:pt>
                <c:pt idx="4">
                  <c:v>45.2</c:v>
                </c:pt>
                <c:pt idx="5">
                  <c:v>6817.500000000003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фінансування'!$D$31:$D$37</c:f>
              <c:numCache>
                <c:ptCount val="6"/>
                <c:pt idx="0">
                  <c:v>7231.999999999999</c:v>
                </c:pt>
                <c:pt idx="1">
                  <c:v>5597.1</c:v>
                </c:pt>
                <c:pt idx="2">
                  <c:v>141.10000000000002</c:v>
                </c:pt>
                <c:pt idx="3">
                  <c:v>73.6</c:v>
                </c:pt>
                <c:pt idx="4">
                  <c:v>3.6</c:v>
                </c:pt>
                <c:pt idx="5">
                  <c:v>1416.599999999999</c:v>
                </c:pt>
              </c:numCache>
            </c:numRef>
          </c:val>
          <c:shape val="box"/>
        </c:ser>
        <c:shape val="box"/>
        <c:axId val="60580218"/>
        <c:axId val="760971"/>
      </c:bar3DChart>
      <c:catAx>
        <c:axId val="605802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60971"/>
        <c:crosses val="autoZero"/>
        <c:auto val="1"/>
        <c:lblOffset val="100"/>
        <c:tickLblSkip val="1"/>
        <c:noMultiLvlLbl val="0"/>
      </c:catAx>
      <c:valAx>
        <c:axId val="7609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58021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75"/>
          <c:y val="0.92075"/>
          <c:w val="0.29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725"/>
          <c:w val="0.979"/>
          <c:h val="0.743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фінансування'!$C$49:$C$54</c:f>
              <c:numCache>
                <c:ptCount val="6"/>
                <c:pt idx="0">
                  <c:v>12054.8</c:v>
                </c:pt>
                <c:pt idx="1">
                  <c:v>7727</c:v>
                </c:pt>
                <c:pt idx="2">
                  <c:v>9.7</c:v>
                </c:pt>
                <c:pt idx="3">
                  <c:v>325</c:v>
                </c:pt>
                <c:pt idx="4">
                  <c:v>534.1</c:v>
                </c:pt>
                <c:pt idx="5">
                  <c:v>3458.9999999999995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фінансування'!$D$49:$D$54</c:f>
              <c:numCache>
                <c:ptCount val="6"/>
                <c:pt idx="0">
                  <c:v>2208</c:v>
                </c:pt>
                <c:pt idx="1">
                  <c:v>1536.5</c:v>
                </c:pt>
                <c:pt idx="3">
                  <c:v>22.6</c:v>
                </c:pt>
                <c:pt idx="4">
                  <c:v>53.3</c:v>
                </c:pt>
                <c:pt idx="5">
                  <c:v>595.6</c:v>
                </c:pt>
              </c:numCache>
            </c:numRef>
          </c:val>
          <c:shape val="box"/>
        </c:ser>
        <c:shape val="box"/>
        <c:axId val="31199812"/>
        <c:axId val="4123877"/>
      </c:bar3DChart>
      <c:catAx>
        <c:axId val="311998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23877"/>
        <c:crosses val="autoZero"/>
        <c:auto val="1"/>
        <c:lblOffset val="100"/>
        <c:tickLblSkip val="2"/>
        <c:noMultiLvlLbl val="0"/>
      </c:catAx>
      <c:valAx>
        <c:axId val="41238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19981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65"/>
          <c:w val="0.97875"/>
          <c:h val="0.744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5"/>
                <c:pt idx="0">
                  <c:v>Молодь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Трансферти населенню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фінансування'!$C$56:$C$61</c:f>
              <c:numCache>
                <c:ptCount val="5"/>
                <c:pt idx="0">
                  <c:v>3908.9</c:v>
                </c:pt>
                <c:pt idx="1">
                  <c:v>2589.6</c:v>
                </c:pt>
                <c:pt idx="2">
                  <c:v>297.4</c:v>
                </c:pt>
                <c:pt idx="3">
                  <c:v>728.7</c:v>
                </c:pt>
                <c:pt idx="4">
                  <c:v>293.20000000000016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5"/>
                <c:pt idx="0">
                  <c:v>Молодь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Трансферти населенню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фінансування'!$D$56:$D$61</c:f>
              <c:numCache>
                <c:ptCount val="5"/>
                <c:pt idx="0">
                  <c:v>500.1000000000001</c:v>
                </c:pt>
                <c:pt idx="1">
                  <c:v>401.30000000000007</c:v>
                </c:pt>
                <c:pt idx="2">
                  <c:v>74.7</c:v>
                </c:pt>
                <c:pt idx="4">
                  <c:v>24.10000000000001</c:v>
                </c:pt>
              </c:numCache>
            </c:numRef>
          </c:val>
          <c:shape val="box"/>
        </c:ser>
        <c:shape val="box"/>
        <c:axId val="34861230"/>
        <c:axId val="20024287"/>
      </c:bar3DChart>
      <c:catAx>
        <c:axId val="348612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024287"/>
        <c:crosses val="autoZero"/>
        <c:auto val="1"/>
        <c:lblOffset val="100"/>
        <c:tickLblSkip val="1"/>
        <c:noMultiLvlLbl val="0"/>
      </c:catAx>
      <c:valAx>
        <c:axId val="200242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86123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3"/>
          <c:y val="0.920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25"/>
          <c:y val="-0.00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0125"/>
          <c:y val="0.151"/>
          <c:w val="0.97475"/>
          <c:h val="0.752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фінансування'!$C$92</c:f>
              <c:numCache>
                <c:ptCount val="1"/>
                <c:pt idx="0">
                  <c:v>39290.3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фінансування'!$D$92</c:f>
              <c:numCache>
                <c:ptCount val="1"/>
                <c:pt idx="0">
                  <c:v>10007.300000000001</c:v>
                </c:pt>
              </c:numCache>
            </c:numRef>
          </c:val>
          <c:shape val="box"/>
        </c:ser>
        <c:shape val="box"/>
        <c:axId val="15689400"/>
        <c:axId val="39285625"/>
      </c:bar3DChart>
      <c:catAx>
        <c:axId val="156894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9285625"/>
        <c:crosses val="autoZero"/>
        <c:auto val="1"/>
        <c:lblOffset val="100"/>
        <c:tickLblSkip val="1"/>
        <c:noMultiLvlLbl val="0"/>
      </c:catAx>
      <c:valAx>
        <c:axId val="392856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68940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0105"/>
          <c:y val="0.1715"/>
          <c:w val="0.979"/>
          <c:h val="0.715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фінансування'!$C$17,'аналіз фінансування'!$C$31,'аналіз фінансування'!$C$49,'аналіз фінансування'!$C$56,'аналіз фінансування'!$C$87,'аналіз фінансування'!$C$92)</c:f>
              <c:numCache>
                <c:ptCount val="7"/>
                <c:pt idx="0">
                  <c:v>279531.5</c:v>
                </c:pt>
                <c:pt idx="1">
                  <c:v>176050.5</c:v>
                </c:pt>
                <c:pt idx="2">
                  <c:v>38286.9</c:v>
                </c:pt>
                <c:pt idx="3">
                  <c:v>12054.8</c:v>
                </c:pt>
                <c:pt idx="4">
                  <c:v>3908.9</c:v>
                </c:pt>
                <c:pt idx="5">
                  <c:v>44816.4</c:v>
                </c:pt>
                <c:pt idx="6">
                  <c:v>39290.3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фінансування'!$D$17,'аналіз фінансування'!$D$31,'аналіз фінансування'!$D$49,'аналіз фінансування'!$D$56,'аналіз фінансування'!$D$87,'аналіз фінансування'!$D$92)</c:f>
              <c:numCache>
                <c:ptCount val="7"/>
                <c:pt idx="0">
                  <c:v>50516.10000000001</c:v>
                </c:pt>
                <c:pt idx="1">
                  <c:v>36193.9</c:v>
                </c:pt>
                <c:pt idx="2">
                  <c:v>7231.999999999999</c:v>
                </c:pt>
                <c:pt idx="3">
                  <c:v>2208</c:v>
                </c:pt>
                <c:pt idx="4">
                  <c:v>500.1000000000001</c:v>
                </c:pt>
                <c:pt idx="5">
                  <c:v>8340.199999999999</c:v>
                </c:pt>
                <c:pt idx="6">
                  <c:v>10007.300000000001</c:v>
                </c:pt>
              </c:numCache>
            </c:numRef>
          </c:val>
          <c:shape val="box"/>
        </c:ser>
        <c:shape val="box"/>
        <c:axId val="97890"/>
        <c:axId val="4013491"/>
      </c:bar3DChart>
      <c:catAx>
        <c:axId val="978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013491"/>
        <c:crosses val="autoZero"/>
        <c:auto val="1"/>
        <c:lblOffset val="100"/>
        <c:tickLblSkip val="1"/>
        <c:noMultiLvlLbl val="0"/>
      </c:catAx>
      <c:valAx>
        <c:axId val="40134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789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53"/>
          <c:w val="0.9795"/>
          <c:h val="0.746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фінансування'!$A$135:$A$140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фінансування'!$C$135:$C$140</c:f>
              <c:numCache>
                <c:ptCount val="6"/>
                <c:pt idx="0">
                  <c:v>437725.39999999997</c:v>
                </c:pt>
                <c:pt idx="1">
                  <c:v>64853.700000000004</c:v>
                </c:pt>
                <c:pt idx="2">
                  <c:v>20323.899999999998</c:v>
                </c:pt>
                <c:pt idx="3">
                  <c:v>7143.8</c:v>
                </c:pt>
                <c:pt idx="4">
                  <c:v>7620.6</c:v>
                </c:pt>
                <c:pt idx="5">
                  <c:v>89659.40000000007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фінансування'!$A$135:$A$140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фінансування'!$D$135:$D$140</c:f>
              <c:numCache>
                <c:ptCount val="6"/>
                <c:pt idx="0">
                  <c:v>89151.10000000002</c:v>
                </c:pt>
                <c:pt idx="1">
                  <c:v>6057.099999999999</c:v>
                </c:pt>
                <c:pt idx="2">
                  <c:v>4322.800000000001</c:v>
                </c:pt>
                <c:pt idx="3">
                  <c:v>1319.3000000000002</c:v>
                </c:pt>
                <c:pt idx="4">
                  <c:v>1024.7</c:v>
                </c:pt>
                <c:pt idx="5">
                  <c:v>18004.799999999996</c:v>
                </c:pt>
              </c:numCache>
            </c:numRef>
          </c:val>
          <c:shape val="box"/>
        </c:ser>
        <c:shape val="box"/>
        <c:axId val="30335404"/>
        <c:axId val="35792013"/>
      </c:bar3DChart>
      <c:catAx>
        <c:axId val="303354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792013"/>
        <c:crosses val="autoZero"/>
        <c:auto val="1"/>
        <c:lblOffset val="100"/>
        <c:tickLblSkip val="1"/>
        <c:noMultiLvlLbl val="0"/>
      </c:catAx>
      <c:valAx>
        <c:axId val="357920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33540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14</xdr:col>
      <xdr:colOff>514350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17145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15</xdr:col>
      <xdr:colOff>104775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034415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76200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21080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15</xdr:col>
      <xdr:colOff>9525</xdr:colOff>
      <xdr:row>33</xdr:row>
      <xdr:rowOff>0</xdr:rowOff>
    </xdr:to>
    <xdr:graphicFrame>
      <xdr:nvGraphicFramePr>
        <xdr:cNvPr id="1" name="Диаграмма 1"/>
        <xdr:cNvGraphicFramePr/>
      </xdr:nvGraphicFramePr>
      <xdr:xfrm>
        <a:off x="66675" y="85725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0"/>
  <sheetViews>
    <sheetView tabSelected="1" view="pageBreakPreview" zoomScale="80" zoomScaleNormal="75" zoomScaleSheetLayoutView="80" zoomScalePageLayoutView="0" workbookViewId="0" topLeftCell="A1">
      <pane xSplit="1" ySplit="5" topLeftCell="B1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46" sqref="B146"/>
    </sheetView>
  </sheetViews>
  <sheetFormatPr defaultColWidth="9.00390625" defaultRowHeight="12.75"/>
  <cols>
    <col min="1" max="1" width="66.875" style="38" customWidth="1"/>
    <col min="2" max="2" width="19.00390625" style="38" customWidth="1"/>
    <col min="3" max="3" width="18.625" style="12" customWidth="1"/>
    <col min="4" max="4" width="19.00390625" style="12" customWidth="1"/>
    <col min="5" max="5" width="17.25390625" style="12" customWidth="1"/>
    <col min="6" max="6" width="19.375" style="12" customWidth="1"/>
    <col min="7" max="7" width="19.125" style="12" customWidth="1"/>
    <col min="8" max="8" width="19.75390625" style="12" customWidth="1"/>
    <col min="9" max="9" width="21.00390625" style="12" customWidth="1"/>
    <col min="10" max="10" width="9.125" style="12" customWidth="1"/>
    <col min="11" max="11" width="21.125" style="12" bestFit="1" customWidth="1"/>
    <col min="12" max="12" width="31.375" style="12" bestFit="1" customWidth="1"/>
    <col min="13" max="16384" width="9.125" style="12" customWidth="1"/>
  </cols>
  <sheetData>
    <row r="1" spans="1:9" s="45" customFormat="1" ht="30">
      <c r="A1" s="122" t="s">
        <v>110</v>
      </c>
      <c r="B1" s="122"/>
      <c r="C1" s="122"/>
      <c r="D1" s="122"/>
      <c r="E1" s="122"/>
      <c r="F1" s="122"/>
      <c r="G1" s="122"/>
      <c r="H1" s="122"/>
      <c r="I1" s="122"/>
    </row>
    <row r="2" spans="1:8" s="11" customFormat="1" ht="9.75" customHeight="1" thickBot="1">
      <c r="A2" s="29"/>
      <c r="B2" s="29"/>
      <c r="C2" s="10"/>
      <c r="D2" s="10"/>
      <c r="E2" s="10"/>
      <c r="F2" s="10"/>
      <c r="G2" s="10"/>
      <c r="H2" s="10"/>
    </row>
    <row r="3" spans="1:9" ht="29.25" customHeight="1">
      <c r="A3" s="126" t="s">
        <v>50</v>
      </c>
      <c r="B3" s="123" t="s">
        <v>103</v>
      </c>
      <c r="C3" s="123" t="s">
        <v>104</v>
      </c>
      <c r="D3" s="123" t="s">
        <v>29</v>
      </c>
      <c r="E3" s="123" t="s">
        <v>28</v>
      </c>
      <c r="F3" s="123" t="s">
        <v>105</v>
      </c>
      <c r="G3" s="123" t="s">
        <v>106</v>
      </c>
      <c r="H3" s="123" t="s">
        <v>107</v>
      </c>
      <c r="I3" s="123" t="s">
        <v>108</v>
      </c>
    </row>
    <row r="4" spans="1:9" ht="24.75" customHeight="1">
      <c r="A4" s="127"/>
      <c r="B4" s="124"/>
      <c r="C4" s="124"/>
      <c r="D4" s="124"/>
      <c r="E4" s="124"/>
      <c r="F4" s="124"/>
      <c r="G4" s="124"/>
      <c r="H4" s="124"/>
      <c r="I4" s="124"/>
    </row>
    <row r="5" spans="1:9" ht="54" customHeight="1" thickBot="1">
      <c r="A5" s="128"/>
      <c r="B5" s="125"/>
      <c r="C5" s="125"/>
      <c r="D5" s="125"/>
      <c r="E5" s="125"/>
      <c r="F5" s="125"/>
      <c r="G5" s="125"/>
      <c r="H5" s="125"/>
      <c r="I5" s="125"/>
    </row>
    <row r="6" spans="1:9" ht="18.75" thickBot="1">
      <c r="A6" s="30" t="s">
        <v>34</v>
      </c>
      <c r="B6" s="55">
        <f>80601.7-7627.3</f>
        <v>72974.4</v>
      </c>
      <c r="C6" s="56">
        <v>279531.5</v>
      </c>
      <c r="D6" s="57">
        <f>7985.1+539+415.1+9890.7+509.1+95.4+495.3+8129.6+543.8+124.7+4+806.2+1384.8+4074.5+2508.4-0.1+1809.8+197+2.8+391.5+5351+1046.8+1404.7+285.4+80.8+603.2+1837.5+3003.4+196.9+8063.3</f>
        <v>61779.70000000002</v>
      </c>
      <c r="E6" s="3">
        <f>D6/D134*100</f>
        <v>42.90003715058487</v>
      </c>
      <c r="F6" s="3">
        <f>D6/B6*100</f>
        <v>84.65941480848082</v>
      </c>
      <c r="G6" s="3">
        <f aca="true" t="shared" si="0" ref="G6:G41">D6/C6*100</f>
        <v>22.101158545637976</v>
      </c>
      <c r="H6" s="3">
        <f>B6-D6</f>
        <v>11194.699999999975</v>
      </c>
      <c r="I6" s="3">
        <f aca="true" t="shared" si="1" ref="I6:I41">C6-D6</f>
        <v>217751.8</v>
      </c>
    </row>
    <row r="7" spans="1:9" ht="18">
      <c r="A7" s="31" t="s">
        <v>3</v>
      </c>
      <c r="B7" s="52">
        <f>55353.4-857.3</f>
        <v>54496.1</v>
      </c>
      <c r="C7" s="53">
        <v>220378.6</v>
      </c>
      <c r="D7" s="54">
        <f>7985.1+61.4+9890.7+1.2+8129.6+806.2+1384.8+4074.5+2508.4-0.1+1256+5351+1046.8+1404.7+196.9+8063.3</f>
        <v>52160.50000000001</v>
      </c>
      <c r="E7" s="1">
        <f>D7/D6*100</f>
        <v>84.42983698528803</v>
      </c>
      <c r="F7" s="1">
        <f>D7/B7*100</f>
        <v>95.71418872176176</v>
      </c>
      <c r="G7" s="1">
        <f t="shared" si="0"/>
        <v>23.668586695804407</v>
      </c>
      <c r="H7" s="1">
        <f>B7-D7</f>
        <v>2335.5999999999913</v>
      </c>
      <c r="I7" s="1">
        <f t="shared" si="1"/>
        <v>168218.1</v>
      </c>
    </row>
    <row r="8" spans="1:9" ht="18">
      <c r="A8" s="31" t="s">
        <v>2</v>
      </c>
      <c r="B8" s="52">
        <f>16.5-7</f>
        <v>9.5</v>
      </c>
      <c r="C8" s="53">
        <v>44.6</v>
      </c>
      <c r="D8" s="54">
        <f>0.1+0.1+0.3+0.3</f>
        <v>0.8</v>
      </c>
      <c r="E8" s="13">
        <f>D8/D6*100</f>
        <v>0.0012949237370851589</v>
      </c>
      <c r="F8" s="1">
        <f>D8/B8*100</f>
        <v>8.421052631578947</v>
      </c>
      <c r="G8" s="1">
        <f t="shared" si="0"/>
        <v>1.7937219730941705</v>
      </c>
      <c r="H8" s="1">
        <f aca="true" t="shared" si="2" ref="H8:H30">B8-D8</f>
        <v>8.7</v>
      </c>
      <c r="I8" s="1">
        <f t="shared" si="1"/>
        <v>43.800000000000004</v>
      </c>
    </row>
    <row r="9" spans="1:9" ht="18">
      <c r="A9" s="31" t="s">
        <v>1</v>
      </c>
      <c r="B9" s="52">
        <f>4861.4-337.5</f>
        <v>4523.9</v>
      </c>
      <c r="C9" s="53">
        <v>17103.7</v>
      </c>
      <c r="D9" s="58">
        <f>538.7+346.9+429.4+56.3+419.6+508.1+71-0.1+453.2+98.5+2.8+391.5+199.8+80.8+202.8+35.8</f>
        <v>3835.100000000001</v>
      </c>
      <c r="E9" s="1">
        <f>D9/D6*100</f>
        <v>6.207702530119116</v>
      </c>
      <c r="F9" s="1">
        <f aca="true" t="shared" si="3" ref="F9:F39">D9/B9*100</f>
        <v>84.77419925285707</v>
      </c>
      <c r="G9" s="1">
        <f t="shared" si="0"/>
        <v>22.422633699141127</v>
      </c>
      <c r="H9" s="1">
        <f t="shared" si="2"/>
        <v>688.7999999999988</v>
      </c>
      <c r="I9" s="1">
        <f t="shared" si="1"/>
        <v>13268.6</v>
      </c>
    </row>
    <row r="10" spans="1:9" ht="18">
      <c r="A10" s="31" t="s">
        <v>0</v>
      </c>
      <c r="B10" s="52">
        <f>20011.8-6389.6</f>
        <v>13622.199999999999</v>
      </c>
      <c r="C10" s="53">
        <v>39445.5</v>
      </c>
      <c r="D10" s="59">
        <f>1.1+76.7+36.7+34.9+18.5+42.2+88.1+82.5+80.9+400.1+1837.5+2957.3</f>
        <v>5656.5</v>
      </c>
      <c r="E10" s="1">
        <f>D10/D6*100</f>
        <v>9.155920148527748</v>
      </c>
      <c r="F10" s="1">
        <f t="shared" si="3"/>
        <v>41.52412972941229</v>
      </c>
      <c r="G10" s="1">
        <f t="shared" si="0"/>
        <v>14.340038787694414</v>
      </c>
      <c r="H10" s="1">
        <f t="shared" si="2"/>
        <v>7965.699999999999</v>
      </c>
      <c r="I10" s="1">
        <f t="shared" si="1"/>
        <v>33789</v>
      </c>
    </row>
    <row r="11" spans="1:9" ht="18">
      <c r="A11" s="31" t="s">
        <v>15</v>
      </c>
      <c r="B11" s="52">
        <v>32.1</v>
      </c>
      <c r="C11" s="53">
        <v>281.8</v>
      </c>
      <c r="D11" s="54">
        <f>4+4+12.7+4</f>
        <v>24.7</v>
      </c>
      <c r="E11" s="1">
        <f>D11/D6*100</f>
        <v>0.03998077038250427</v>
      </c>
      <c r="F11" s="1">
        <f t="shared" si="3"/>
        <v>76.94704049844236</v>
      </c>
      <c r="G11" s="1">
        <f t="shared" si="0"/>
        <v>8.765081618168914</v>
      </c>
      <c r="H11" s="1">
        <f t="shared" si="2"/>
        <v>7.400000000000002</v>
      </c>
      <c r="I11" s="1">
        <f t="shared" si="1"/>
        <v>257.1</v>
      </c>
    </row>
    <row r="12" spans="1:9" ht="18.75" thickBot="1">
      <c r="A12" s="31" t="s">
        <v>35</v>
      </c>
      <c r="B12" s="53">
        <f>B6-B7-B8-B9-B10-B11</f>
        <v>290.59999999999707</v>
      </c>
      <c r="C12" s="53">
        <f>C6-C7-C8-C9-C10-C11</f>
        <v>2277.299999999991</v>
      </c>
      <c r="D12" s="53">
        <f>D6-D7-D8-D9-D10-D11</f>
        <v>102.100000000012</v>
      </c>
      <c r="E12" s="1">
        <f>D12/D6*100</f>
        <v>0.1652646419455128</v>
      </c>
      <c r="F12" s="1">
        <f t="shared" si="3"/>
        <v>35.13420509291571</v>
      </c>
      <c r="G12" s="1">
        <f t="shared" si="0"/>
        <v>4.483379440566127</v>
      </c>
      <c r="H12" s="1">
        <f t="shared" si="2"/>
        <v>188.49999999998505</v>
      </c>
      <c r="I12" s="1">
        <f t="shared" si="1"/>
        <v>2175.199999999979</v>
      </c>
    </row>
    <row r="13" spans="1:9" s="47" customFormat="1" ht="18.75" customHeight="1" hidden="1">
      <c r="A13" s="114" t="s">
        <v>86</v>
      </c>
      <c r="B13" s="112"/>
      <c r="C13" s="112"/>
      <c r="D13" s="112"/>
      <c r="E13" s="113"/>
      <c r="F13" s="113" t="e">
        <f>D13/B13*100</f>
        <v>#DIV/0!</v>
      </c>
      <c r="G13" s="113" t="e">
        <f>D13/C13*100</f>
        <v>#DIV/0!</v>
      </c>
      <c r="H13" s="113">
        <f>B13-D13</f>
        <v>0</v>
      </c>
      <c r="I13" s="113">
        <f>C13-D13</f>
        <v>0</v>
      </c>
    </row>
    <row r="14" spans="1:9" s="47" customFormat="1" ht="18.75" customHeight="1" hidden="1">
      <c r="A14" s="114" t="s">
        <v>83</v>
      </c>
      <c r="B14" s="112"/>
      <c r="C14" s="112"/>
      <c r="D14" s="112"/>
      <c r="E14" s="113"/>
      <c r="F14" s="113" t="e">
        <f>D14/B14*100</f>
        <v>#DIV/0!</v>
      </c>
      <c r="G14" s="113" t="e">
        <f>D14/C14*100</f>
        <v>#DIV/0!</v>
      </c>
      <c r="H14" s="113">
        <f>B14-D14</f>
        <v>0</v>
      </c>
      <c r="I14" s="113">
        <f>C14-D14</f>
        <v>0</v>
      </c>
    </row>
    <row r="15" spans="1:9" s="47" customFormat="1" ht="18.75" hidden="1">
      <c r="A15" s="114" t="s">
        <v>84</v>
      </c>
      <c r="B15" s="112"/>
      <c r="C15" s="112"/>
      <c r="D15" s="112"/>
      <c r="E15" s="113"/>
      <c r="F15" s="113" t="e">
        <f>D15/B15*100</f>
        <v>#DIV/0!</v>
      </c>
      <c r="G15" s="113" t="e">
        <f>D15/C15*100</f>
        <v>#DIV/0!</v>
      </c>
      <c r="H15" s="113">
        <f>B15-D15</f>
        <v>0</v>
      </c>
      <c r="I15" s="113">
        <f>C15-D15</f>
        <v>0</v>
      </c>
    </row>
    <row r="16" spans="1:9" s="47" customFormat="1" ht="19.5" hidden="1" thickBot="1">
      <c r="A16" s="114" t="s">
        <v>85</v>
      </c>
      <c r="B16" s="112"/>
      <c r="C16" s="112"/>
      <c r="D16" s="112"/>
      <c r="E16" s="113"/>
      <c r="F16" s="113" t="e">
        <f>D16/B16*100</f>
        <v>#DIV/0!</v>
      </c>
      <c r="G16" s="113" t="e">
        <f>D16/C16*100</f>
        <v>#DIV/0!</v>
      </c>
      <c r="H16" s="113">
        <f>B16-D16</f>
        <v>0</v>
      </c>
      <c r="I16" s="113">
        <f>C16-D16</f>
        <v>0</v>
      </c>
    </row>
    <row r="17" spans="1:9" ht="18.75" thickBot="1">
      <c r="A17" s="30" t="s">
        <v>23</v>
      </c>
      <c r="B17" s="55">
        <f>51566.9-2995.2</f>
        <v>48571.700000000004</v>
      </c>
      <c r="C17" s="56">
        <v>176050.5</v>
      </c>
      <c r="D17" s="57">
        <f>5329.2+6976.4+310.1+0.1+574.9+417.4+5396.4+2+668.9+83+171.9+366.8+7074.6+0.1+0.1+821.2+7.6+8.6+0.9+5585.2+2.9+0.4+456.2+427.1+1512+1289.7+309.6+556.1+6698.2</f>
        <v>45047.59999999999</v>
      </c>
      <c r="E17" s="3">
        <f>D17/D134*100</f>
        <v>31.281209095296454</v>
      </c>
      <c r="F17" s="3">
        <f>D17/B17*100</f>
        <v>92.74454054521458</v>
      </c>
      <c r="G17" s="3">
        <f t="shared" si="0"/>
        <v>25.58788529427635</v>
      </c>
      <c r="H17" s="3">
        <f>B17-D17</f>
        <v>3524.100000000013</v>
      </c>
      <c r="I17" s="3">
        <f t="shared" si="1"/>
        <v>131002.90000000001</v>
      </c>
    </row>
    <row r="18" spans="1:9" ht="18">
      <c r="A18" s="31" t="s">
        <v>5</v>
      </c>
      <c r="B18" s="52">
        <f>37781.3-1205.3</f>
        <v>36576</v>
      </c>
      <c r="C18" s="53">
        <v>133077.8</v>
      </c>
      <c r="D18" s="54">
        <f>5127.2+6545.1+310.1+0.1+5190.4+6767.1+5380.4+556.1+6698.2</f>
        <v>36574.7</v>
      </c>
      <c r="E18" s="1">
        <f>D18/D17*100</f>
        <v>81.19122883350057</v>
      </c>
      <c r="F18" s="1">
        <f t="shared" si="3"/>
        <v>99.99644575678039</v>
      </c>
      <c r="G18" s="1">
        <f t="shared" si="0"/>
        <v>27.483697506270765</v>
      </c>
      <c r="H18" s="1">
        <f t="shared" si="2"/>
        <v>1.3000000000029104</v>
      </c>
      <c r="I18" s="1">
        <f t="shared" si="1"/>
        <v>96503.09999999999</v>
      </c>
    </row>
    <row r="19" spans="1:9" ht="18">
      <c r="A19" s="31" t="s">
        <v>2</v>
      </c>
      <c r="B19" s="52">
        <f>1754+46.4-30-25-1.5-341.5</f>
        <v>1402.4</v>
      </c>
      <c r="C19" s="53">
        <f>7565.3-5.5</f>
        <v>7559.8</v>
      </c>
      <c r="D19" s="54">
        <f>15+99.7+173.8+0.6+107.5+22.1+0.5+193.8+202.2+7.6+0.9+0.4+198.3+0.9+0.9+95.5</f>
        <v>1119.7</v>
      </c>
      <c r="E19" s="1">
        <f>D19/D17*100</f>
        <v>2.4855930171640668</v>
      </c>
      <c r="F19" s="1">
        <f t="shared" si="3"/>
        <v>79.84169994295493</v>
      </c>
      <c r="G19" s="1">
        <f t="shared" si="0"/>
        <v>14.811238392550068</v>
      </c>
      <c r="H19" s="1">
        <f t="shared" si="2"/>
        <v>282.70000000000005</v>
      </c>
      <c r="I19" s="1">
        <f t="shared" si="1"/>
        <v>6440.1</v>
      </c>
    </row>
    <row r="20" spans="1:9" ht="18">
      <c r="A20" s="31" t="s">
        <v>1</v>
      </c>
      <c r="B20" s="52">
        <f>674.2-143.5</f>
        <v>530.7</v>
      </c>
      <c r="C20" s="53">
        <v>2836.6</v>
      </c>
      <c r="D20" s="54">
        <f>50.7+162.6+43.4+2.3+47.2+1.8+59.1-0.1+62.8+64.5+13.9</f>
        <v>508.2</v>
      </c>
      <c r="E20" s="1">
        <f>D20/D17*100</f>
        <v>1.1281400118985252</v>
      </c>
      <c r="F20" s="1">
        <f t="shared" si="3"/>
        <v>95.76031656302995</v>
      </c>
      <c r="G20" s="1">
        <f t="shared" si="0"/>
        <v>17.915814707748716</v>
      </c>
      <c r="H20" s="1">
        <f t="shared" si="2"/>
        <v>22.500000000000057</v>
      </c>
      <c r="I20" s="1">
        <f t="shared" si="1"/>
        <v>2328.4</v>
      </c>
    </row>
    <row r="21" spans="1:9" ht="18">
      <c r="A21" s="31" t="s">
        <v>0</v>
      </c>
      <c r="B21" s="52">
        <f>7505.6-763.3-17.5-83-1186.7</f>
        <v>5455.1</v>
      </c>
      <c r="C21" s="53">
        <v>19349.6</v>
      </c>
      <c r="D21" s="54">
        <f>36.6+15.7+3.3+2+290.1+4.1+24.2+41.8-0.1+460.8+0.9+2.5+257.9+361.7+1303.2+901</f>
        <v>3705.7</v>
      </c>
      <c r="E21" s="1">
        <f>D21/D17*100</f>
        <v>8.22618741065007</v>
      </c>
      <c r="F21" s="1">
        <f t="shared" si="3"/>
        <v>67.93092702241937</v>
      </c>
      <c r="G21" s="1">
        <f t="shared" si="0"/>
        <v>19.151300285277216</v>
      </c>
      <c r="H21" s="1">
        <f t="shared" si="2"/>
        <v>1749.4000000000005</v>
      </c>
      <c r="I21" s="1">
        <f t="shared" si="1"/>
        <v>15643.899999999998</v>
      </c>
    </row>
    <row r="22" spans="1:9" ht="18">
      <c r="A22" s="31" t="s">
        <v>15</v>
      </c>
      <c r="B22" s="52">
        <f>352.7+7.9-2.4</f>
        <v>358.2</v>
      </c>
      <c r="C22" s="53">
        <v>1388.5</v>
      </c>
      <c r="D22" s="54">
        <f>14.2+80.1+19.7+105+3.5+1.3+30+84.1</f>
        <v>337.9</v>
      </c>
      <c r="E22" s="1">
        <f>D22/D17*100</f>
        <v>0.750095454585816</v>
      </c>
      <c r="F22" s="1">
        <f t="shared" si="3"/>
        <v>94.33277498604131</v>
      </c>
      <c r="G22" s="1">
        <f t="shared" si="0"/>
        <v>24.335613971912135</v>
      </c>
      <c r="H22" s="1">
        <f t="shared" si="2"/>
        <v>20.30000000000001</v>
      </c>
      <c r="I22" s="1">
        <f t="shared" si="1"/>
        <v>1050.6</v>
      </c>
    </row>
    <row r="23" spans="1:9" ht="18.75" thickBot="1">
      <c r="A23" s="31" t="s">
        <v>35</v>
      </c>
      <c r="B23" s="53">
        <f>B17-B18-B19-B20-B21-B22</f>
        <v>4249.300000000004</v>
      </c>
      <c r="C23" s="53">
        <f>C17-C18-C19-C20-C21-C22</f>
        <v>11838.200000000012</v>
      </c>
      <c r="D23" s="53">
        <f>D17-D18-D19-D20-D21-D22</f>
        <v>2801.3999999999946</v>
      </c>
      <c r="E23" s="1">
        <f>D23/D17*100</f>
        <v>6.2187552722009505</v>
      </c>
      <c r="F23" s="1">
        <f t="shared" si="3"/>
        <v>65.92615254277156</v>
      </c>
      <c r="G23" s="1">
        <f t="shared" si="0"/>
        <v>23.66407055126617</v>
      </c>
      <c r="H23" s="1">
        <f t="shared" si="2"/>
        <v>1447.9000000000092</v>
      </c>
      <c r="I23" s="1">
        <f t="shared" si="1"/>
        <v>9036.800000000017</v>
      </c>
    </row>
    <row r="24" spans="1:9" ht="56.25" hidden="1">
      <c r="A24" s="114" t="s">
        <v>94</v>
      </c>
      <c r="B24" s="53"/>
      <c r="C24" s="53"/>
      <c r="D24" s="53"/>
      <c r="E24" s="1"/>
      <c r="F24" s="1" t="e">
        <f t="shared" si="3"/>
        <v>#DIV/0!</v>
      </c>
      <c r="G24" s="1" t="e">
        <f t="shared" si="0"/>
        <v>#DIV/0!</v>
      </c>
      <c r="H24" s="1">
        <f t="shared" si="2"/>
        <v>0</v>
      </c>
      <c r="I24" s="1">
        <f t="shared" si="1"/>
        <v>0</v>
      </c>
    </row>
    <row r="25" spans="1:9" ht="36.75" customHeight="1" hidden="1">
      <c r="A25" s="114" t="s">
        <v>95</v>
      </c>
      <c r="B25" s="53"/>
      <c r="C25" s="53"/>
      <c r="D25" s="53"/>
      <c r="E25" s="1"/>
      <c r="F25" s="1" t="e">
        <f t="shared" si="3"/>
        <v>#DIV/0!</v>
      </c>
      <c r="G25" s="1" t="e">
        <f t="shared" si="0"/>
        <v>#DIV/0!</v>
      </c>
      <c r="H25" s="1">
        <f t="shared" si="2"/>
        <v>0</v>
      </c>
      <c r="I25" s="1">
        <f t="shared" si="1"/>
        <v>0</v>
      </c>
    </row>
    <row r="26" spans="1:9" ht="18.75" hidden="1">
      <c r="A26" s="114" t="s">
        <v>96</v>
      </c>
      <c r="B26" s="53"/>
      <c r="C26" s="53"/>
      <c r="D26" s="53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9.75" customHeight="1" hidden="1">
      <c r="A27" s="114" t="s">
        <v>97</v>
      </c>
      <c r="B27" s="53"/>
      <c r="C27" s="53"/>
      <c r="D27" s="53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37.5" customHeight="1" hidden="1">
      <c r="A28" s="114" t="s">
        <v>98</v>
      </c>
      <c r="B28" s="53"/>
      <c r="C28" s="53"/>
      <c r="D28" s="53"/>
      <c r="E28" s="1"/>
      <c r="F28" s="1" t="e">
        <f>D28/B28*100</f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6" customHeight="1" hidden="1">
      <c r="A29" s="114" t="s">
        <v>99</v>
      </c>
      <c r="B29" s="53"/>
      <c r="C29" s="53"/>
      <c r="D29" s="53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19.5" hidden="1" thickBot="1">
      <c r="A30" s="114" t="s">
        <v>100</v>
      </c>
      <c r="B30" s="53"/>
      <c r="C30" s="53"/>
      <c r="D30" s="53"/>
      <c r="E30" s="1"/>
      <c r="F30" s="1" t="e">
        <f t="shared" si="3"/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18.75" thickBot="1">
      <c r="A31" s="30" t="s">
        <v>18</v>
      </c>
      <c r="B31" s="55">
        <f>9864.5-1364</f>
        <v>8500.5</v>
      </c>
      <c r="C31" s="56">
        <v>38286.9</v>
      </c>
      <c r="D31" s="60">
        <f>1347.1+62.9+5.5+1121.1+3+1.1+2.6+0.1+234+6+147.2+4.6+1039.4+104.2+50.8+0.5+110.9+1079.5+38+332+67.8+22.1+92.4+1134.6+86.2+65+3.4+18.4+51.6+1048</f>
        <v>8280</v>
      </c>
      <c r="E31" s="3">
        <f>D31/D134*100</f>
        <v>5.749660610311197</v>
      </c>
      <c r="F31" s="3">
        <f>D31/B31*100</f>
        <v>97.40603493912123</v>
      </c>
      <c r="G31" s="3">
        <f t="shared" si="0"/>
        <v>21.626195905126817</v>
      </c>
      <c r="H31" s="3">
        <f aca="true" t="shared" si="4" ref="H31:H41">B31-D31</f>
        <v>220.5</v>
      </c>
      <c r="I31" s="3">
        <f t="shared" si="1"/>
        <v>30006.9</v>
      </c>
    </row>
    <row r="32" spans="1:9" ht="18">
      <c r="A32" s="31" t="s">
        <v>3</v>
      </c>
      <c r="B32" s="52">
        <f>6784.1-138.9</f>
        <v>6645.200000000001</v>
      </c>
      <c r="C32" s="53">
        <v>28976.1</v>
      </c>
      <c r="D32" s="54">
        <f>1119.5+1121.1+1039.4+104.2+1079.5+1133.4+1048</f>
        <v>6645.1</v>
      </c>
      <c r="E32" s="1">
        <f>D32/D31*100</f>
        <v>80.2548309178744</v>
      </c>
      <c r="F32" s="1">
        <f t="shared" si="3"/>
        <v>99.99849515439715</v>
      </c>
      <c r="G32" s="1">
        <f t="shared" si="0"/>
        <v>22.93303791745611</v>
      </c>
      <c r="H32" s="1">
        <f t="shared" si="4"/>
        <v>0.1000000000003638</v>
      </c>
      <c r="I32" s="1">
        <f t="shared" si="1"/>
        <v>22331</v>
      </c>
    </row>
    <row r="33" spans="1:9" ht="18" hidden="1">
      <c r="A33" s="31" t="s">
        <v>1</v>
      </c>
      <c r="B33" s="52"/>
      <c r="C33" s="53"/>
      <c r="D33" s="54"/>
      <c r="E33" s="1">
        <f>D33/D31*100</f>
        <v>0</v>
      </c>
      <c r="F33" s="1" t="e">
        <f t="shared" si="3"/>
        <v>#DIV/0!</v>
      </c>
      <c r="G33" s="1" t="e">
        <f t="shared" si="0"/>
        <v>#DIV/0!</v>
      </c>
      <c r="H33" s="1">
        <f t="shared" si="4"/>
        <v>0</v>
      </c>
      <c r="I33" s="1">
        <f t="shared" si="1"/>
        <v>0</v>
      </c>
    </row>
    <row r="34" spans="1:9" ht="18">
      <c r="A34" s="31" t="s">
        <v>0</v>
      </c>
      <c r="B34" s="52">
        <f>811.9-515.3</f>
        <v>296.6</v>
      </c>
      <c r="C34" s="53">
        <v>1732.8</v>
      </c>
      <c r="D34" s="54">
        <f>1+2.5+0.8+6+1.4+0.1+11.2+0.5+6.3-0.2+32.4+6.9+2.4+3.4+18.4+48</f>
        <v>141.10000000000002</v>
      </c>
      <c r="E34" s="1">
        <f>D34/D31*100</f>
        <v>1.704106280193237</v>
      </c>
      <c r="F34" s="1">
        <f t="shared" si="3"/>
        <v>47.57248819959542</v>
      </c>
      <c r="G34" s="1">
        <f t="shared" si="0"/>
        <v>8.142890120036936</v>
      </c>
      <c r="H34" s="1">
        <f t="shared" si="4"/>
        <v>155.5</v>
      </c>
      <c r="I34" s="1">
        <f t="shared" si="1"/>
        <v>1591.6999999999998</v>
      </c>
    </row>
    <row r="35" spans="1:9" s="47" customFormat="1" ht="18.75">
      <c r="A35" s="25" t="s">
        <v>7</v>
      </c>
      <c r="B35" s="61">
        <f>126.8-27.5</f>
        <v>99.3</v>
      </c>
      <c r="C35" s="62">
        <v>715.3</v>
      </c>
      <c r="D35" s="63">
        <f>38.5+5.5+3+4.5+22.1</f>
        <v>73.6</v>
      </c>
      <c r="E35" s="21">
        <f>D35/D31*100</f>
        <v>0.8888888888888888</v>
      </c>
      <c r="F35" s="21">
        <f t="shared" si="3"/>
        <v>74.11883182275932</v>
      </c>
      <c r="G35" s="21">
        <f t="shared" si="0"/>
        <v>10.289389067524116</v>
      </c>
      <c r="H35" s="21">
        <f t="shared" si="4"/>
        <v>25.700000000000003</v>
      </c>
      <c r="I35" s="21">
        <f t="shared" si="1"/>
        <v>641.6999999999999</v>
      </c>
    </row>
    <row r="36" spans="1:9" ht="18">
      <c r="A36" s="31" t="s">
        <v>15</v>
      </c>
      <c r="B36" s="52">
        <f>20.8-13.6</f>
        <v>7.200000000000001</v>
      </c>
      <c r="C36" s="53">
        <v>45.2</v>
      </c>
      <c r="D36" s="53">
        <f>3.6</f>
        <v>3.6</v>
      </c>
      <c r="E36" s="1">
        <f>D36/D31*100</f>
        <v>0.043478260869565216</v>
      </c>
      <c r="F36" s="1">
        <f t="shared" si="3"/>
        <v>49.99999999999999</v>
      </c>
      <c r="G36" s="1">
        <f t="shared" si="0"/>
        <v>7.964601769911504</v>
      </c>
      <c r="H36" s="1">
        <f t="shared" si="4"/>
        <v>3.600000000000001</v>
      </c>
      <c r="I36" s="1">
        <f t="shared" si="1"/>
        <v>41.6</v>
      </c>
    </row>
    <row r="37" spans="1:9" ht="18.75" thickBot="1">
      <c r="A37" s="31" t="s">
        <v>35</v>
      </c>
      <c r="B37" s="52">
        <f>B31-B32-B34-B35-B33-B36</f>
        <v>1452.1999999999994</v>
      </c>
      <c r="C37" s="52">
        <f>C31-C32-C34-C35-C33-C36</f>
        <v>6817.500000000003</v>
      </c>
      <c r="D37" s="52">
        <f>D31-D32-D34-D35-D33-D36</f>
        <v>1416.6</v>
      </c>
      <c r="E37" s="1">
        <f>D37/D31*100</f>
        <v>17.10869565217391</v>
      </c>
      <c r="F37" s="1">
        <f t="shared" si="3"/>
        <v>97.54854703208929</v>
      </c>
      <c r="G37" s="1">
        <f t="shared" si="0"/>
        <v>20.77887788778877</v>
      </c>
      <c r="H37" s="1">
        <f>B37-D37</f>
        <v>35.599999999999454</v>
      </c>
      <c r="I37" s="1">
        <f t="shared" si="1"/>
        <v>5400.900000000003</v>
      </c>
    </row>
    <row r="38" spans="1:9" s="116" customFormat="1" ht="18.75" hidden="1">
      <c r="A38" s="114" t="s">
        <v>91</v>
      </c>
      <c r="B38" s="115"/>
      <c r="C38" s="115"/>
      <c r="D38" s="115"/>
      <c r="E38" s="113"/>
      <c r="F38" s="113" t="e">
        <f t="shared" si="3"/>
        <v>#DIV/0!</v>
      </c>
      <c r="G38" s="113" t="e">
        <f t="shared" si="0"/>
        <v>#DIV/0!</v>
      </c>
      <c r="H38" s="113">
        <f>B38-D38</f>
        <v>0</v>
      </c>
      <c r="I38" s="113">
        <f t="shared" si="1"/>
        <v>0</v>
      </c>
    </row>
    <row r="39" spans="1:9" s="116" customFormat="1" ht="18.75" hidden="1">
      <c r="A39" s="114" t="s">
        <v>92</v>
      </c>
      <c r="B39" s="115"/>
      <c r="C39" s="115"/>
      <c r="D39" s="115"/>
      <c r="E39" s="113"/>
      <c r="F39" s="113" t="e">
        <f t="shared" si="3"/>
        <v>#DIV/0!</v>
      </c>
      <c r="G39" s="113" t="e">
        <f t="shared" si="0"/>
        <v>#DIV/0!</v>
      </c>
      <c r="H39" s="113">
        <f>B39-D39</f>
        <v>0</v>
      </c>
      <c r="I39" s="113">
        <f t="shared" si="1"/>
        <v>0</v>
      </c>
    </row>
    <row r="40" spans="1:9" s="116" customFormat="1" ht="19.5" hidden="1" thickBot="1">
      <c r="A40" s="114" t="s">
        <v>93</v>
      </c>
      <c r="B40" s="115"/>
      <c r="C40" s="115"/>
      <c r="D40" s="115"/>
      <c r="E40" s="113"/>
      <c r="F40" s="113"/>
      <c r="G40" s="113" t="e">
        <f t="shared" si="0"/>
        <v>#DIV/0!</v>
      </c>
      <c r="H40" s="113">
        <f>B40-D40</f>
        <v>0</v>
      </c>
      <c r="I40" s="113">
        <f t="shared" si="1"/>
        <v>0</v>
      </c>
    </row>
    <row r="41" spans="1:9" ht="19.5" thickBot="1">
      <c r="A41" s="15" t="s">
        <v>17</v>
      </c>
      <c r="B41" s="117">
        <f>281.6-105.9</f>
        <v>175.70000000000002</v>
      </c>
      <c r="C41" s="56">
        <v>1079.9</v>
      </c>
      <c r="D41" s="57">
        <f>39.9+10-0.1+63.8</f>
        <v>113.6</v>
      </c>
      <c r="E41" s="3">
        <f>D41/D134*100</f>
        <v>0.07888423252794105</v>
      </c>
      <c r="F41" s="3">
        <f>D41/B41*100</f>
        <v>64.65566306203755</v>
      </c>
      <c r="G41" s="3">
        <f t="shared" si="0"/>
        <v>10.519492545606072</v>
      </c>
      <c r="H41" s="3">
        <f t="shared" si="4"/>
        <v>62.10000000000002</v>
      </c>
      <c r="I41" s="3">
        <f t="shared" si="1"/>
        <v>966.3000000000001</v>
      </c>
    </row>
    <row r="42" spans="1:9" ht="12" customHeight="1" thickBot="1">
      <c r="A42" s="33"/>
      <c r="B42" s="65"/>
      <c r="C42" s="66"/>
      <c r="D42" s="67"/>
      <c r="E42" s="7"/>
      <c r="F42" s="7"/>
      <c r="G42" s="7"/>
      <c r="H42" s="7"/>
      <c r="I42" s="7"/>
    </row>
    <row r="43" spans="1:9" ht="18.75" thickBot="1">
      <c r="A43" s="30" t="s">
        <v>55</v>
      </c>
      <c r="B43" s="55">
        <f>1442.5-64.6</f>
        <v>1377.9</v>
      </c>
      <c r="C43" s="56">
        <v>6105.1</v>
      </c>
      <c r="D43" s="57">
        <f>179.7+225.2+3.4+199.4+211.8+7.4+5.4+7.6+190.5+3.4+230.5</f>
        <v>1264.3000000000002</v>
      </c>
      <c r="E43" s="3">
        <f>D43/D134*100</f>
        <v>0.8779342886010202</v>
      </c>
      <c r="F43" s="3">
        <f>D43/B43*100</f>
        <v>91.75557007039698</v>
      </c>
      <c r="G43" s="3">
        <f aca="true" t="shared" si="5" ref="G43:G73">D43/C43*100</f>
        <v>20.70891549687966</v>
      </c>
      <c r="H43" s="3">
        <f>B43-D43</f>
        <v>113.59999999999991</v>
      </c>
      <c r="I43" s="3">
        <f aca="true" t="shared" si="6" ref="I43:I74">C43-D43</f>
        <v>4840.8</v>
      </c>
    </row>
    <row r="44" spans="1:9" ht="18">
      <c r="A44" s="31" t="s">
        <v>3</v>
      </c>
      <c r="B44" s="52">
        <f>1245.3-44.5</f>
        <v>1200.8</v>
      </c>
      <c r="C44" s="53">
        <v>5484.1</v>
      </c>
      <c r="D44" s="54">
        <f>179.7+201.3+187+211.8+190.5+230.5</f>
        <v>1200.8</v>
      </c>
      <c r="E44" s="1">
        <f>D44/D43*100</f>
        <v>94.97745788183182</v>
      </c>
      <c r="F44" s="1">
        <f aca="true" t="shared" si="7" ref="F44:F71">D44/B44*100</f>
        <v>100</v>
      </c>
      <c r="G44" s="1">
        <f t="shared" si="5"/>
        <v>21.896026695355662</v>
      </c>
      <c r="H44" s="1">
        <f aca="true" t="shared" si="8" ref="H44:H71">B44-D44</f>
        <v>0</v>
      </c>
      <c r="I44" s="1">
        <f t="shared" si="6"/>
        <v>4283.3</v>
      </c>
    </row>
    <row r="45" spans="1:9" ht="18">
      <c r="A45" s="31" t="s">
        <v>2</v>
      </c>
      <c r="B45" s="52">
        <f>0.3-0.3</f>
        <v>0</v>
      </c>
      <c r="C45" s="53">
        <v>1</v>
      </c>
      <c r="D45" s="54"/>
      <c r="E45" s="1">
        <f>D45/D43*100</f>
        <v>0</v>
      </c>
      <c r="F45" s="1"/>
      <c r="G45" s="1">
        <f t="shared" si="5"/>
        <v>0</v>
      </c>
      <c r="H45" s="1">
        <f t="shared" si="8"/>
        <v>0</v>
      </c>
      <c r="I45" s="1">
        <f t="shared" si="6"/>
        <v>1</v>
      </c>
    </row>
    <row r="46" spans="1:9" ht="18">
      <c r="A46" s="31" t="s">
        <v>1</v>
      </c>
      <c r="B46" s="52">
        <f>7-0.4</f>
        <v>6.6</v>
      </c>
      <c r="C46" s="53">
        <v>35.1</v>
      </c>
      <c r="D46" s="54">
        <f>3.2+3.4</f>
        <v>6.6</v>
      </c>
      <c r="E46" s="1">
        <f>D46/D43*100</f>
        <v>0.5220279996836193</v>
      </c>
      <c r="F46" s="1">
        <f t="shared" si="7"/>
        <v>100</v>
      </c>
      <c r="G46" s="1">
        <f t="shared" si="5"/>
        <v>18.8034188034188</v>
      </c>
      <c r="H46" s="1">
        <f t="shared" si="8"/>
        <v>0</v>
      </c>
      <c r="I46" s="1">
        <f t="shared" si="6"/>
        <v>28.5</v>
      </c>
    </row>
    <row r="47" spans="1:9" ht="18">
      <c r="A47" s="31" t="s">
        <v>0</v>
      </c>
      <c r="B47" s="52">
        <f>150.4-18.1</f>
        <v>132.3</v>
      </c>
      <c r="C47" s="53">
        <v>358</v>
      </c>
      <c r="D47" s="54">
        <f>23.1+2.7+0.5+0.4+5.2+0.6</f>
        <v>32.5</v>
      </c>
      <c r="E47" s="1">
        <f>D47/D43*100</f>
        <v>2.570592422684489</v>
      </c>
      <c r="F47" s="1">
        <f t="shared" si="7"/>
        <v>24.56538170823885</v>
      </c>
      <c r="G47" s="1">
        <f t="shared" si="5"/>
        <v>9.078212290502794</v>
      </c>
      <c r="H47" s="1">
        <f t="shared" si="8"/>
        <v>99.80000000000001</v>
      </c>
      <c r="I47" s="1">
        <f t="shared" si="6"/>
        <v>325.5</v>
      </c>
    </row>
    <row r="48" spans="1:9" ht="18.75" thickBot="1">
      <c r="A48" s="31" t="s">
        <v>35</v>
      </c>
      <c r="B48" s="53">
        <f>B43-B44-B47-B46-B45</f>
        <v>38.200000000000124</v>
      </c>
      <c r="C48" s="53">
        <f>C43-C44-C47-C46-C45</f>
        <v>226.9</v>
      </c>
      <c r="D48" s="53">
        <f>D43-D44-D47-D46-D45</f>
        <v>24.400000000000226</v>
      </c>
      <c r="E48" s="1">
        <f>D48/D43*100</f>
        <v>1.9299216958000651</v>
      </c>
      <c r="F48" s="1">
        <f t="shared" si="7"/>
        <v>63.87434554973861</v>
      </c>
      <c r="G48" s="1">
        <f t="shared" si="5"/>
        <v>10.753635962979386</v>
      </c>
      <c r="H48" s="1">
        <f t="shared" si="8"/>
        <v>13.799999999999898</v>
      </c>
      <c r="I48" s="1">
        <f t="shared" si="6"/>
        <v>202.49999999999977</v>
      </c>
    </row>
    <row r="49" spans="1:9" ht="18.75" thickBot="1">
      <c r="A49" s="30" t="s">
        <v>4</v>
      </c>
      <c r="B49" s="55">
        <f>3088.9-111.5</f>
        <v>2977.4</v>
      </c>
      <c r="C49" s="56">
        <v>12054.8</v>
      </c>
      <c r="D49" s="57">
        <f>282.8+343.5+104.6+27.4+31.1+70.8+315.1+27.8+66.3+5+25+425.5+95.6+8.8+334.8+43.9+50.2+364.8+68.9</f>
        <v>2691.9</v>
      </c>
      <c r="E49" s="3">
        <f>D49/D134*100</f>
        <v>1.8692646614609554</v>
      </c>
      <c r="F49" s="3">
        <f>D49/B49*100</f>
        <v>90.41109693020756</v>
      </c>
      <c r="G49" s="3">
        <f t="shared" si="5"/>
        <v>22.330523940670936</v>
      </c>
      <c r="H49" s="3">
        <f>B49-D49</f>
        <v>285.5</v>
      </c>
      <c r="I49" s="3">
        <f t="shared" si="6"/>
        <v>9362.9</v>
      </c>
    </row>
    <row r="50" spans="1:9" ht="18">
      <c r="A50" s="31" t="s">
        <v>3</v>
      </c>
      <c r="B50" s="52">
        <f>1910.9-9.6</f>
        <v>1901.3000000000002</v>
      </c>
      <c r="C50" s="53">
        <v>7727</v>
      </c>
      <c r="D50" s="54">
        <f>282.8+343.5+279.8+360.5+269.9+364.8</f>
        <v>1901.3</v>
      </c>
      <c r="E50" s="1">
        <f>D50/D49*100</f>
        <v>70.6304097477618</v>
      </c>
      <c r="F50" s="1">
        <f t="shared" si="7"/>
        <v>99.99999999999999</v>
      </c>
      <c r="G50" s="1">
        <f t="shared" si="5"/>
        <v>24.605927268021226</v>
      </c>
      <c r="H50" s="1">
        <f t="shared" si="8"/>
        <v>0</v>
      </c>
      <c r="I50" s="1">
        <f t="shared" si="6"/>
        <v>5825.7</v>
      </c>
    </row>
    <row r="51" spans="1:9" ht="18">
      <c r="A51" s="31" t="s">
        <v>2</v>
      </c>
      <c r="B51" s="52">
        <v>0</v>
      </c>
      <c r="C51" s="53">
        <v>9.7</v>
      </c>
      <c r="D51" s="54"/>
      <c r="E51" s="13">
        <f>D51/D49*100</f>
        <v>0</v>
      </c>
      <c r="F51" s="1"/>
      <c r="G51" s="1">
        <f t="shared" si="5"/>
        <v>0</v>
      </c>
      <c r="H51" s="1">
        <f t="shared" si="8"/>
        <v>0</v>
      </c>
      <c r="I51" s="1">
        <f t="shared" si="6"/>
        <v>9.7</v>
      </c>
    </row>
    <row r="52" spans="1:9" ht="18">
      <c r="A52" s="31" t="s">
        <v>1</v>
      </c>
      <c r="B52" s="52">
        <f>69.4-39.1</f>
        <v>30.300000000000004</v>
      </c>
      <c r="C52" s="53">
        <v>325</v>
      </c>
      <c r="D52" s="54">
        <f>2.4+4.2+4.2+8.7+3.1+5.2</f>
        <v>27.8</v>
      </c>
      <c r="E52" s="1">
        <f>D52/D49*100</f>
        <v>1.0327278130688362</v>
      </c>
      <c r="F52" s="1">
        <f t="shared" si="7"/>
        <v>91.74917491749174</v>
      </c>
      <c r="G52" s="1">
        <f t="shared" si="5"/>
        <v>8.553846153846154</v>
      </c>
      <c r="H52" s="1">
        <f t="shared" si="8"/>
        <v>2.5000000000000036</v>
      </c>
      <c r="I52" s="1">
        <f t="shared" si="6"/>
        <v>297.2</v>
      </c>
    </row>
    <row r="53" spans="1:9" ht="18">
      <c r="A53" s="31" t="s">
        <v>0</v>
      </c>
      <c r="B53" s="52">
        <f>182.4-33.7</f>
        <v>148.7</v>
      </c>
      <c r="C53" s="53">
        <v>534.1</v>
      </c>
      <c r="D53" s="54">
        <f>6+11+5+10.4+0.1+20.8+16</f>
        <v>69.3</v>
      </c>
      <c r="E53" s="1">
        <f>D53/D49*100</f>
        <v>2.5743898361751922</v>
      </c>
      <c r="F53" s="1">
        <f t="shared" si="7"/>
        <v>46.603900470746474</v>
      </c>
      <c r="G53" s="1">
        <f t="shared" si="5"/>
        <v>12.975098296199212</v>
      </c>
      <c r="H53" s="1">
        <f t="shared" si="8"/>
        <v>79.39999999999999</v>
      </c>
      <c r="I53" s="1">
        <f t="shared" si="6"/>
        <v>464.8</v>
      </c>
    </row>
    <row r="54" spans="1:9" ht="18.75" thickBot="1">
      <c r="A54" s="31" t="s">
        <v>35</v>
      </c>
      <c r="B54" s="53">
        <f>B49-B50-B53-B52-B51</f>
        <v>897.0999999999999</v>
      </c>
      <c r="C54" s="53">
        <f>C49-C50-C53-C52-C51</f>
        <v>3458.9999999999995</v>
      </c>
      <c r="D54" s="53">
        <f>D49-D50-D53-D52-D51</f>
        <v>693.5000000000002</v>
      </c>
      <c r="E54" s="1">
        <f>D54/D49*100</f>
        <v>25.762472602994173</v>
      </c>
      <c r="F54" s="1">
        <f t="shared" si="7"/>
        <v>77.3046483112251</v>
      </c>
      <c r="G54" s="1">
        <f t="shared" si="5"/>
        <v>20.04914715235618</v>
      </c>
      <c r="H54" s="1">
        <f t="shared" si="8"/>
        <v>203.59999999999968</v>
      </c>
      <c r="I54" s="1">
        <f>C54-D54</f>
        <v>2765.499999999999</v>
      </c>
    </row>
    <row r="55" spans="1:9" s="47" customFormat="1" ht="19.5" hidden="1" thickBot="1">
      <c r="A55" s="114" t="s">
        <v>90</v>
      </c>
      <c r="B55" s="112"/>
      <c r="C55" s="112"/>
      <c r="D55" s="112"/>
      <c r="E55" s="1"/>
      <c r="F55" s="113" t="e">
        <f t="shared" si="7"/>
        <v>#DIV/0!</v>
      </c>
      <c r="G55" s="113" t="e">
        <f t="shared" si="5"/>
        <v>#DIV/0!</v>
      </c>
      <c r="H55" s="113">
        <f t="shared" si="8"/>
        <v>0</v>
      </c>
      <c r="I55" s="113">
        <f>C55-D55</f>
        <v>0</v>
      </c>
    </row>
    <row r="56" spans="1:9" ht="18.75" thickBot="1">
      <c r="A56" s="30" t="s">
        <v>6</v>
      </c>
      <c r="B56" s="55">
        <f>716.9-89.8</f>
        <v>627.1</v>
      </c>
      <c r="C56" s="56">
        <v>3908.9</v>
      </c>
      <c r="D56" s="57">
        <f>128-60.9+102.5+11.8+75.2+16.7+4.5+87.9+0.1+68.6+30.5+35.2+2.4+30+93-9.8</f>
        <v>615.7</v>
      </c>
      <c r="E56" s="3">
        <f>D56/D134*100</f>
        <v>0.4275442074599764</v>
      </c>
      <c r="F56" s="3">
        <f>D56/B56*100</f>
        <v>98.18210811672779</v>
      </c>
      <c r="G56" s="3">
        <f t="shared" si="5"/>
        <v>15.751234362608407</v>
      </c>
      <c r="H56" s="3">
        <f>B56-D56</f>
        <v>11.399999999999977</v>
      </c>
      <c r="I56" s="3">
        <f t="shared" si="6"/>
        <v>3293.2</v>
      </c>
    </row>
    <row r="57" spans="1:9" ht="18">
      <c r="A57" s="31" t="s">
        <v>3</v>
      </c>
      <c r="B57" s="52">
        <f>568.9-44.6</f>
        <v>524.3</v>
      </c>
      <c r="C57" s="53">
        <v>2589.6</v>
      </c>
      <c r="D57" s="54">
        <f>128-60.9+102.5+75.2+87.9+68.6+30+93</f>
        <v>524.3000000000001</v>
      </c>
      <c r="E57" s="1">
        <f>D57/D56*100</f>
        <v>85.15510800714634</v>
      </c>
      <c r="F57" s="1">
        <f t="shared" si="7"/>
        <v>100.00000000000003</v>
      </c>
      <c r="G57" s="1">
        <f t="shared" si="5"/>
        <v>20.24637009576769</v>
      </c>
      <c r="H57" s="1">
        <f t="shared" si="8"/>
        <v>0</v>
      </c>
      <c r="I57" s="1">
        <f t="shared" si="6"/>
        <v>2065.2999999999997</v>
      </c>
    </row>
    <row r="58" spans="1:9" ht="18" hidden="1">
      <c r="A58" s="31" t="s">
        <v>1</v>
      </c>
      <c r="B58" s="52"/>
      <c r="C58" s="53"/>
      <c r="D58" s="54"/>
      <c r="E58" s="1">
        <f>D58/D56*100</f>
        <v>0</v>
      </c>
      <c r="F58" s="1" t="e">
        <f t="shared" si="7"/>
        <v>#DIV/0!</v>
      </c>
      <c r="G58" s="1" t="e">
        <f t="shared" si="5"/>
        <v>#DIV/0!</v>
      </c>
      <c r="H58" s="1">
        <f t="shared" si="8"/>
        <v>0</v>
      </c>
      <c r="I58" s="1">
        <f t="shared" si="6"/>
        <v>0</v>
      </c>
    </row>
    <row r="59" spans="1:9" ht="18">
      <c r="A59" s="31" t="s">
        <v>0</v>
      </c>
      <c r="B59" s="52">
        <f>118.2-43.5</f>
        <v>74.7</v>
      </c>
      <c r="C59" s="53">
        <v>297.4</v>
      </c>
      <c r="D59" s="54">
        <f>4.5+4.5+30.5+35.2</f>
        <v>74.7</v>
      </c>
      <c r="E59" s="1">
        <f>D59/D56*100</f>
        <v>12.132532077310378</v>
      </c>
      <c r="F59" s="1">
        <f t="shared" si="7"/>
        <v>100</v>
      </c>
      <c r="G59" s="1">
        <f t="shared" si="5"/>
        <v>25.117686617350373</v>
      </c>
      <c r="H59" s="1">
        <f t="shared" si="8"/>
        <v>0</v>
      </c>
      <c r="I59" s="1">
        <f t="shared" si="6"/>
        <v>222.7</v>
      </c>
    </row>
    <row r="60" spans="1:9" ht="18">
      <c r="A60" s="31" t="s">
        <v>15</v>
      </c>
      <c r="B60" s="52">
        <v>0</v>
      </c>
      <c r="C60" s="53">
        <v>728.7</v>
      </c>
      <c r="D60" s="54"/>
      <c r="E60" s="1">
        <f>D60/D56*100</f>
        <v>0</v>
      </c>
      <c r="F60" s="1"/>
      <c r="G60" s="1">
        <f t="shared" si="5"/>
        <v>0</v>
      </c>
      <c r="H60" s="1">
        <f t="shared" si="8"/>
        <v>0</v>
      </c>
      <c r="I60" s="1">
        <f t="shared" si="6"/>
        <v>728.7</v>
      </c>
    </row>
    <row r="61" spans="1:9" ht="18.75" thickBot="1">
      <c r="A61" s="31" t="s">
        <v>35</v>
      </c>
      <c r="B61" s="53">
        <f>B56-B57-B59-B60-B58</f>
        <v>28.100000000000065</v>
      </c>
      <c r="C61" s="53">
        <f>C56-C57-C59-C60-C58</f>
        <v>293.20000000000016</v>
      </c>
      <c r="D61" s="53">
        <f>D56-D57-D59-D60-D58</f>
        <v>16.699999999999974</v>
      </c>
      <c r="E61" s="1">
        <f>D61/D56*100</f>
        <v>2.7123599155432796</v>
      </c>
      <c r="F61" s="1">
        <f t="shared" si="7"/>
        <v>59.430604982206184</v>
      </c>
      <c r="G61" s="1">
        <f t="shared" si="5"/>
        <v>5.695770804911311</v>
      </c>
      <c r="H61" s="1">
        <f t="shared" si="8"/>
        <v>11.400000000000091</v>
      </c>
      <c r="I61" s="1">
        <f t="shared" si="6"/>
        <v>276.50000000000017</v>
      </c>
    </row>
    <row r="62" spans="1:9" s="47" customFormat="1" ht="18.75" hidden="1">
      <c r="A62" s="114" t="s">
        <v>101</v>
      </c>
      <c r="B62" s="112"/>
      <c r="C62" s="112"/>
      <c r="D62" s="112"/>
      <c r="E62" s="113"/>
      <c r="F62" s="113" t="e">
        <f>D62/B62*100</f>
        <v>#DIV/0!</v>
      </c>
      <c r="G62" s="113" t="e">
        <f>D62/C62*100</f>
        <v>#DIV/0!</v>
      </c>
      <c r="H62" s="113">
        <f t="shared" si="8"/>
        <v>0</v>
      </c>
      <c r="I62" s="113">
        <f t="shared" si="6"/>
        <v>0</v>
      </c>
    </row>
    <row r="63" spans="1:9" s="47" customFormat="1" ht="18.75" hidden="1">
      <c r="A63" s="114" t="s">
        <v>87</v>
      </c>
      <c r="B63" s="112"/>
      <c r="C63" s="112"/>
      <c r="D63" s="112"/>
      <c r="E63" s="113"/>
      <c r="F63" s="113" t="e">
        <f t="shared" si="7"/>
        <v>#DIV/0!</v>
      </c>
      <c r="G63" s="113" t="e">
        <f t="shared" si="5"/>
        <v>#DIV/0!</v>
      </c>
      <c r="H63" s="113">
        <f t="shared" si="8"/>
        <v>0</v>
      </c>
      <c r="I63" s="113">
        <f t="shared" si="6"/>
        <v>0</v>
      </c>
    </row>
    <row r="64" spans="1:9" s="47" customFormat="1" ht="18.75" hidden="1">
      <c r="A64" s="114" t="s">
        <v>88</v>
      </c>
      <c r="B64" s="112"/>
      <c r="C64" s="112"/>
      <c r="D64" s="112"/>
      <c r="E64" s="113"/>
      <c r="F64" s="113" t="e">
        <f t="shared" si="7"/>
        <v>#DIV/0!</v>
      </c>
      <c r="G64" s="113" t="e">
        <f t="shared" si="5"/>
        <v>#DIV/0!</v>
      </c>
      <c r="H64" s="113">
        <f t="shared" si="8"/>
        <v>0</v>
      </c>
      <c r="I64" s="113">
        <f t="shared" si="6"/>
        <v>0</v>
      </c>
    </row>
    <row r="65" spans="1:9" s="47" customFormat="1" ht="19.5" hidden="1" thickBot="1">
      <c r="A65" s="114" t="s">
        <v>89</v>
      </c>
      <c r="B65" s="112"/>
      <c r="C65" s="112"/>
      <c r="D65" s="112"/>
      <c r="E65" s="113"/>
      <c r="F65" s="113" t="e">
        <f t="shared" si="7"/>
        <v>#DIV/0!</v>
      </c>
      <c r="G65" s="113" t="e">
        <f t="shared" si="5"/>
        <v>#DIV/0!</v>
      </c>
      <c r="H65" s="113">
        <f t="shared" si="8"/>
        <v>0</v>
      </c>
      <c r="I65" s="113">
        <f t="shared" si="6"/>
        <v>0</v>
      </c>
    </row>
    <row r="66" spans="1:9" ht="18.75" thickBot="1">
      <c r="A66" s="30" t="s">
        <v>24</v>
      </c>
      <c r="B66" s="56">
        <f>B67+B68</f>
        <v>0</v>
      </c>
      <c r="C66" s="56">
        <f>C67+C68</f>
        <v>460</v>
      </c>
      <c r="D66" s="57">
        <f>SUM(D67:D68)</f>
        <v>0</v>
      </c>
      <c r="E66" s="44">
        <f>D66/D134*100</f>
        <v>0</v>
      </c>
      <c r="F66" s="119" t="e">
        <f>D66/B66*100</f>
        <v>#DIV/0!</v>
      </c>
      <c r="G66" s="3">
        <f t="shared" si="5"/>
        <v>0</v>
      </c>
      <c r="H66" s="3">
        <f>B66-D66</f>
        <v>0</v>
      </c>
      <c r="I66" s="3">
        <f t="shared" si="6"/>
        <v>460</v>
      </c>
    </row>
    <row r="67" spans="1:9" ht="18">
      <c r="A67" s="31" t="s">
        <v>8</v>
      </c>
      <c r="B67" s="52">
        <f>43.1-43.1</f>
        <v>0</v>
      </c>
      <c r="C67" s="53">
        <v>257.4</v>
      </c>
      <c r="D67" s="54"/>
      <c r="E67" s="1"/>
      <c r="F67" s="118" t="e">
        <f t="shared" si="7"/>
        <v>#DIV/0!</v>
      </c>
      <c r="G67" s="1">
        <f t="shared" si="5"/>
        <v>0</v>
      </c>
      <c r="H67" s="1">
        <f t="shared" si="8"/>
        <v>0</v>
      </c>
      <c r="I67" s="1">
        <f t="shared" si="6"/>
        <v>257.4</v>
      </c>
    </row>
    <row r="68" spans="1:9" ht="18.75" thickBot="1">
      <c r="A68" s="31" t="s">
        <v>9</v>
      </c>
      <c r="B68" s="52">
        <f>48.9-48.9</f>
        <v>0</v>
      </c>
      <c r="C68" s="53">
        <v>202.6</v>
      </c>
      <c r="D68" s="54"/>
      <c r="E68" s="1"/>
      <c r="F68" s="118" t="e">
        <f t="shared" si="7"/>
        <v>#DIV/0!</v>
      </c>
      <c r="G68" s="1">
        <f t="shared" si="5"/>
        <v>0</v>
      </c>
      <c r="H68" s="1">
        <f t="shared" si="8"/>
        <v>0</v>
      </c>
      <c r="I68" s="1">
        <f t="shared" si="6"/>
        <v>202.6</v>
      </c>
    </row>
    <row r="69" spans="1:9" ht="38.25" hidden="1" thickBot="1">
      <c r="A69" s="15" t="s">
        <v>51</v>
      </c>
      <c r="B69" s="64"/>
      <c r="C69" s="56">
        <f>C70+C71+C72+C73</f>
        <v>0</v>
      </c>
      <c r="D69" s="56">
        <f>D70+D71+D72+D73</f>
        <v>0</v>
      </c>
      <c r="E69" s="3">
        <f>D69/D134*100</f>
        <v>0</v>
      </c>
      <c r="F69" s="3" t="e">
        <f>D69/B69*100</f>
        <v>#DIV/0!</v>
      </c>
      <c r="G69" s="3" t="e">
        <f t="shared" si="5"/>
        <v>#DIV/0!</v>
      </c>
      <c r="H69" s="3">
        <f>B69-D69</f>
        <v>0</v>
      </c>
      <c r="I69" s="3">
        <f t="shared" si="6"/>
        <v>0</v>
      </c>
    </row>
    <row r="70" spans="1:9" ht="18.75" hidden="1">
      <c r="A70" s="25" t="s">
        <v>57</v>
      </c>
      <c r="B70" s="61"/>
      <c r="C70" s="68"/>
      <c r="D70" s="59"/>
      <c r="E70" s="39" t="e">
        <f>D70/D69*100</f>
        <v>#DIV/0!</v>
      </c>
      <c r="F70" s="1" t="e">
        <f t="shared" si="7"/>
        <v>#DIV/0!</v>
      </c>
      <c r="G70" s="1" t="e">
        <f t="shared" si="5"/>
        <v>#DIV/0!</v>
      </c>
      <c r="H70" s="1">
        <f t="shared" si="8"/>
        <v>0</v>
      </c>
      <c r="I70" s="1">
        <f t="shared" si="6"/>
        <v>0</v>
      </c>
    </row>
    <row r="71" spans="1:9" ht="18.75" hidden="1">
      <c r="A71" s="25" t="s">
        <v>58</v>
      </c>
      <c r="B71" s="61"/>
      <c r="C71" s="68"/>
      <c r="D71" s="59"/>
      <c r="E71" s="39" t="e">
        <f>D71/D69*100</f>
        <v>#DIV/0!</v>
      </c>
      <c r="F71" s="1" t="e">
        <f t="shared" si="7"/>
        <v>#DIV/0!</v>
      </c>
      <c r="G71" s="1" t="e">
        <f t="shared" si="5"/>
        <v>#DIV/0!</v>
      </c>
      <c r="H71" s="1">
        <f t="shared" si="8"/>
        <v>0</v>
      </c>
      <c r="I71" s="1">
        <f t="shared" si="6"/>
        <v>0</v>
      </c>
    </row>
    <row r="72" spans="1:9" ht="18.75" hidden="1">
      <c r="A72" s="32" t="s">
        <v>42</v>
      </c>
      <c r="B72" s="69"/>
      <c r="C72" s="70"/>
      <c r="D72" s="71"/>
      <c r="E72" s="39" t="e">
        <f>D72/D69*100</f>
        <v>#DIV/0!</v>
      </c>
      <c r="F72" s="39"/>
      <c r="G72" s="1" t="e">
        <f t="shared" si="5"/>
        <v>#DIV/0!</v>
      </c>
      <c r="H72" s="1"/>
      <c r="I72" s="1">
        <f t="shared" si="6"/>
        <v>0</v>
      </c>
    </row>
    <row r="73" spans="1:9" ht="19.5" hidden="1" thickBot="1">
      <c r="A73" s="32" t="s">
        <v>52</v>
      </c>
      <c r="B73" s="69"/>
      <c r="C73" s="70"/>
      <c r="D73" s="71"/>
      <c r="E73" s="39" t="e">
        <f>D73/D69*100</f>
        <v>#DIV/0!</v>
      </c>
      <c r="F73" s="39"/>
      <c r="G73" s="1" t="e">
        <f t="shared" si="5"/>
        <v>#DIV/0!</v>
      </c>
      <c r="H73" s="1"/>
      <c r="I73" s="1">
        <f t="shared" si="6"/>
        <v>0</v>
      </c>
    </row>
    <row r="74" spans="1:9" s="47" customFormat="1" ht="19.5" thickBot="1">
      <c r="A74" s="33" t="s">
        <v>14</v>
      </c>
      <c r="B74" s="65">
        <v>100</v>
      </c>
      <c r="C74" s="72">
        <v>400</v>
      </c>
      <c r="D74" s="73"/>
      <c r="E74" s="51"/>
      <c r="F74" s="51"/>
      <c r="G74" s="51"/>
      <c r="H74" s="51">
        <f>B74-D74</f>
        <v>100</v>
      </c>
      <c r="I74" s="51">
        <f t="shared" si="6"/>
        <v>400</v>
      </c>
    </row>
    <row r="75" spans="1:9" ht="8.25" customHeight="1" thickBot="1">
      <c r="A75" s="25"/>
      <c r="B75" s="61"/>
      <c r="C75" s="70"/>
      <c r="D75" s="71"/>
      <c r="E75" s="6"/>
      <c r="F75" s="6"/>
      <c r="G75" s="6"/>
      <c r="H75" s="6"/>
      <c r="I75" s="14"/>
    </row>
    <row r="76" spans="1:9" ht="18.75" customHeight="1" hidden="1" thickBot="1">
      <c r="A76" s="15" t="s">
        <v>81</v>
      </c>
      <c r="B76" s="64">
        <f>B77+B78</f>
        <v>0</v>
      </c>
      <c r="C76" s="56">
        <f>C77+C78</f>
        <v>0</v>
      </c>
      <c r="D76" s="56">
        <f>D77+D78</f>
        <v>0</v>
      </c>
      <c r="E76" s="3">
        <f>D76/D134*100</f>
        <v>0</v>
      </c>
      <c r="F76" s="3" t="e">
        <f>D76/B76*100</f>
        <v>#DIV/0!</v>
      </c>
      <c r="G76" s="3" t="e">
        <f aca="true" t="shared" si="9" ref="G76:G90">D76/C76*100</f>
        <v>#DIV/0!</v>
      </c>
      <c r="H76" s="3">
        <f>B76-D76</f>
        <v>0</v>
      </c>
      <c r="I76" s="3">
        <f aca="true" t="shared" si="10" ref="I76:I90">C76-D76</f>
        <v>0</v>
      </c>
    </row>
    <row r="77" spans="1:9" s="8" customFormat="1" ht="18" hidden="1">
      <c r="A77" s="9" t="s">
        <v>80</v>
      </c>
      <c r="B77" s="74">
        <f>50-50</f>
        <v>0</v>
      </c>
      <c r="C77" s="53">
        <f>50-50</f>
        <v>0</v>
      </c>
      <c r="D77" s="54"/>
      <c r="E77" s="111"/>
      <c r="F77" s="1" t="e">
        <f>D77/B77*100</f>
        <v>#DIV/0!</v>
      </c>
      <c r="G77" s="1" t="e">
        <f t="shared" si="9"/>
        <v>#DIV/0!</v>
      </c>
      <c r="H77" s="1">
        <f>B77-D77</f>
        <v>0</v>
      </c>
      <c r="I77" s="1">
        <f t="shared" si="10"/>
        <v>0</v>
      </c>
    </row>
    <row r="78" spans="1:9" s="8" customFormat="1" ht="31.5" hidden="1" thickBot="1">
      <c r="A78" s="9" t="s">
        <v>71</v>
      </c>
      <c r="B78" s="74"/>
      <c r="C78" s="53"/>
      <c r="D78" s="54"/>
      <c r="E78" s="111"/>
      <c r="F78" s="1" t="e">
        <f>D78/B78*100</f>
        <v>#DIV/0!</v>
      </c>
      <c r="G78" s="1" t="e">
        <f t="shared" si="9"/>
        <v>#DIV/0!</v>
      </c>
      <c r="H78" s="1">
        <f>B78-D78</f>
        <v>0</v>
      </c>
      <c r="I78" s="1">
        <f t="shared" si="10"/>
        <v>0</v>
      </c>
    </row>
    <row r="79" spans="1:9" s="8" customFormat="1" ht="16.5" customHeight="1" hidden="1">
      <c r="A79" s="9" t="s">
        <v>41</v>
      </c>
      <c r="B79" s="74"/>
      <c r="C79" s="53"/>
      <c r="D79" s="54"/>
      <c r="E79" s="1" t="e">
        <f>D79/D76*100</f>
        <v>#DIV/0!</v>
      </c>
      <c r="F79" s="1"/>
      <c r="G79" s="1" t="e">
        <f t="shared" si="9"/>
        <v>#DIV/0!</v>
      </c>
      <c r="H79" s="1"/>
      <c r="I79" s="1">
        <f t="shared" si="10"/>
        <v>0</v>
      </c>
    </row>
    <row r="80" spans="1:9" s="8" customFormat="1" ht="33" customHeight="1" hidden="1" thickBot="1">
      <c r="A80" s="9" t="s">
        <v>48</v>
      </c>
      <c r="B80" s="74"/>
      <c r="C80" s="53"/>
      <c r="D80" s="53"/>
      <c r="E80" s="1" t="e">
        <f>D80/D76*100</f>
        <v>#DIV/0!</v>
      </c>
      <c r="F80" s="1"/>
      <c r="G80" s="1" t="e">
        <f t="shared" si="9"/>
        <v>#DIV/0!</v>
      </c>
      <c r="H80" s="1"/>
      <c r="I80" s="1">
        <f t="shared" si="10"/>
        <v>0</v>
      </c>
    </row>
    <row r="81" spans="1:9" ht="35.25" customHeight="1" hidden="1" thickBot="1">
      <c r="A81" s="15" t="s">
        <v>43</v>
      </c>
      <c r="B81" s="64"/>
      <c r="C81" s="56">
        <f>C82+C83</f>
        <v>0</v>
      </c>
      <c r="D81" s="56">
        <f>D82+D83</f>
        <v>0</v>
      </c>
      <c r="E81" s="3">
        <f>D81/D134*100</f>
        <v>0</v>
      </c>
      <c r="F81" s="3"/>
      <c r="G81" s="3" t="e">
        <f t="shared" si="9"/>
        <v>#DIV/0!</v>
      </c>
      <c r="H81" s="3"/>
      <c r="I81" s="3">
        <f t="shared" si="10"/>
        <v>0</v>
      </c>
    </row>
    <row r="82" spans="1:9" ht="16.5" customHeight="1" hidden="1">
      <c r="A82" s="31" t="s">
        <v>30</v>
      </c>
      <c r="B82" s="52"/>
      <c r="C82" s="70"/>
      <c r="D82" s="70"/>
      <c r="E82" s="6" t="e">
        <f>D82/D81*100</f>
        <v>#DIV/0!</v>
      </c>
      <c r="F82" s="6"/>
      <c r="G82" s="6" t="e">
        <f t="shared" si="9"/>
        <v>#DIV/0!</v>
      </c>
      <c r="H82" s="6"/>
      <c r="I82" s="1">
        <f t="shared" si="10"/>
        <v>0</v>
      </c>
    </row>
    <row r="83" spans="1:9" ht="16.5" customHeight="1" hidden="1" thickBot="1">
      <c r="A83" s="31" t="s">
        <v>31</v>
      </c>
      <c r="B83" s="52"/>
      <c r="C83" s="70"/>
      <c r="D83" s="70"/>
      <c r="E83" s="6" t="e">
        <f>D83/D81*100</f>
        <v>#DIV/0!</v>
      </c>
      <c r="F83" s="6"/>
      <c r="G83" s="6" t="e">
        <f t="shared" si="9"/>
        <v>#DIV/0!</v>
      </c>
      <c r="H83" s="6"/>
      <c r="I83" s="1">
        <f t="shared" si="10"/>
        <v>0</v>
      </c>
    </row>
    <row r="84" spans="1:9" ht="34.5" customHeight="1" hidden="1" thickBot="1">
      <c r="A84" s="15" t="s">
        <v>44</v>
      </c>
      <c r="B84" s="64"/>
      <c r="C84" s="56">
        <f>SUM(C85:C86)</f>
        <v>0</v>
      </c>
      <c r="D84" s="56">
        <f>SUM(D85:D86)</f>
        <v>0</v>
      </c>
      <c r="E84" s="3">
        <f>D84/D134*100</f>
        <v>0</v>
      </c>
      <c r="F84" s="3"/>
      <c r="G84" s="3" t="e">
        <f t="shared" si="9"/>
        <v>#DIV/0!</v>
      </c>
      <c r="H84" s="3"/>
      <c r="I84" s="3">
        <f t="shared" si="10"/>
        <v>0</v>
      </c>
    </row>
    <row r="85" spans="1:9" ht="17.25" customHeight="1" hidden="1">
      <c r="A85" s="31" t="s">
        <v>30</v>
      </c>
      <c r="B85" s="52"/>
      <c r="C85" s="53"/>
      <c r="D85" s="54"/>
      <c r="E85" s="1" t="e">
        <f>D85/D84*100</f>
        <v>#DIV/0!</v>
      </c>
      <c r="F85" s="1"/>
      <c r="G85" s="1" t="e">
        <f t="shared" si="9"/>
        <v>#DIV/0!</v>
      </c>
      <c r="H85" s="1"/>
      <c r="I85" s="1">
        <f t="shared" si="10"/>
        <v>0</v>
      </c>
    </row>
    <row r="86" spans="1:9" ht="17.25" customHeight="1" hidden="1" thickBot="1">
      <c r="A86" s="31" t="s">
        <v>31</v>
      </c>
      <c r="B86" s="52"/>
      <c r="C86" s="53"/>
      <c r="D86" s="54"/>
      <c r="E86" s="1" t="e">
        <f>D86/D84*100</f>
        <v>#DIV/0!</v>
      </c>
      <c r="F86" s="1"/>
      <c r="G86" s="1" t="e">
        <f t="shared" si="9"/>
        <v>#DIV/0!</v>
      </c>
      <c r="H86" s="1"/>
      <c r="I86" s="1">
        <f t="shared" si="10"/>
        <v>0</v>
      </c>
    </row>
    <row r="87" spans="1:9" ht="19.5" thickBot="1">
      <c r="A87" s="15" t="s">
        <v>10</v>
      </c>
      <c r="B87" s="64">
        <f>11996.7-135.3-92-166.3-161.6-146.4-61.8</f>
        <v>11233.300000000003</v>
      </c>
      <c r="C87" s="56">
        <v>44816.4</v>
      </c>
      <c r="D87" s="57">
        <f>3.8+55.8+884+208.9+0.4+11.9+10.3+22.7+60.3+781.1+1004.9+29.9+24.2+11.3+0.5+128.1+69.2+31.5+41.9+1269.3+95.4+24+10.9+543+685.6+565+6.4+0.1+28.5+21.8+0.4+295+102.7+311.9+492.9+445.4+19.5+31.2+0.1+10.4+208.5+270.1+1371.1+5+70.3</f>
        <v>10265.199999999999</v>
      </c>
      <c r="E87" s="3">
        <f>D87/D134*100</f>
        <v>7.1281903498751795</v>
      </c>
      <c r="F87" s="3">
        <f aca="true" t="shared" si="11" ref="F87:F92">D87/B87*100</f>
        <v>91.3818735367167</v>
      </c>
      <c r="G87" s="3">
        <f t="shared" si="9"/>
        <v>22.905007988147194</v>
      </c>
      <c r="H87" s="3">
        <f aca="true" t="shared" si="12" ref="H87:H92">B87-D87</f>
        <v>968.100000000004</v>
      </c>
      <c r="I87" s="3">
        <f t="shared" si="10"/>
        <v>34551.200000000004</v>
      </c>
    </row>
    <row r="88" spans="1:9" ht="18">
      <c r="A88" s="31" t="s">
        <v>3</v>
      </c>
      <c r="B88" s="52">
        <f>9491.4-24.9-77.3-69-105.1-50.3-38</f>
        <v>9126.800000000001</v>
      </c>
      <c r="C88" s="53">
        <v>38623.9</v>
      </c>
      <c r="D88" s="54">
        <f>3.8+55.8+877.5+206+1.6+755.1+834.4+26.6+41.3+1268.7+0.5+8.5+536.6+685.6+565+6.3-0.1+21.4+100.1+302.4+492.5+445.4+29.6+0.1+201.4+262.7+1370.2+24.4</f>
        <v>9123.4</v>
      </c>
      <c r="E88" s="1">
        <f>D88/D87*100</f>
        <v>88.87698242606086</v>
      </c>
      <c r="F88" s="1">
        <f t="shared" si="11"/>
        <v>99.96274707454967</v>
      </c>
      <c r="G88" s="1">
        <f t="shared" si="9"/>
        <v>23.621125779633854</v>
      </c>
      <c r="H88" s="1">
        <f t="shared" si="12"/>
        <v>3.400000000001455</v>
      </c>
      <c r="I88" s="1">
        <f t="shared" si="10"/>
        <v>29500.5</v>
      </c>
    </row>
    <row r="89" spans="1:9" ht="18">
      <c r="A89" s="31" t="s">
        <v>33</v>
      </c>
      <c r="B89" s="52">
        <f>761.5-15.7-40.4-33.5-11.1-21.4</f>
        <v>639.4</v>
      </c>
      <c r="C89" s="53">
        <v>1866.3</v>
      </c>
      <c r="D89" s="54">
        <f>125+55.5+51.3+1.7-0.1+10.4+5.3</f>
        <v>249.10000000000002</v>
      </c>
      <c r="E89" s="1">
        <f>D89/D87*100</f>
        <v>2.426645364922262</v>
      </c>
      <c r="F89" s="1">
        <f t="shared" si="11"/>
        <v>38.95839849859243</v>
      </c>
      <c r="G89" s="1">
        <f t="shared" si="9"/>
        <v>13.347264641268822</v>
      </c>
      <c r="H89" s="1">
        <f t="shared" si="12"/>
        <v>390.29999999999995</v>
      </c>
      <c r="I89" s="1">
        <f t="shared" si="10"/>
        <v>1617.1999999999998</v>
      </c>
    </row>
    <row r="90" spans="1:9" ht="18" hidden="1">
      <c r="A90" s="31" t="s">
        <v>15</v>
      </c>
      <c r="B90" s="52"/>
      <c r="C90" s="53"/>
      <c r="D90" s="53"/>
      <c r="E90" s="13">
        <f>D90/D87*100</f>
        <v>0</v>
      </c>
      <c r="F90" s="1"/>
      <c r="G90" s="1" t="e">
        <f t="shared" si="9"/>
        <v>#DIV/0!</v>
      </c>
      <c r="H90" s="1">
        <f t="shared" si="12"/>
        <v>0</v>
      </c>
      <c r="I90" s="1">
        <f t="shared" si="10"/>
        <v>0</v>
      </c>
    </row>
    <row r="91" spans="1:9" ht="18.75" thickBot="1">
      <c r="A91" s="31" t="s">
        <v>35</v>
      </c>
      <c r="B91" s="53">
        <f>B87-B88-B89-B90</f>
        <v>1467.1000000000017</v>
      </c>
      <c r="C91" s="53">
        <f>C87-C88-C89-C90</f>
        <v>4326.2</v>
      </c>
      <c r="D91" s="53">
        <f>D87-D88-D89-D90</f>
        <v>892.6999999999992</v>
      </c>
      <c r="E91" s="1">
        <f>D91/D87*100</f>
        <v>8.696372209016866</v>
      </c>
      <c r="F91" s="1">
        <f t="shared" si="11"/>
        <v>60.84793129302694</v>
      </c>
      <c r="G91" s="1">
        <f>D91/C91*100</f>
        <v>20.634737182746967</v>
      </c>
      <c r="H91" s="1">
        <f t="shared" si="12"/>
        <v>574.4000000000025</v>
      </c>
      <c r="I91" s="1">
        <f>C91-D91</f>
        <v>3433.5000000000005</v>
      </c>
    </row>
    <row r="92" spans="1:9" ht="19.5" thickBot="1">
      <c r="A92" s="15" t="s">
        <v>12</v>
      </c>
      <c r="B92" s="64">
        <f>10401.1-79</f>
        <v>10322.1</v>
      </c>
      <c r="C92" s="75">
        <v>39290.3</v>
      </c>
      <c r="D92" s="57">
        <f>2618.9+2514.7+108.2+3415.7+1160.5+185.2+4.1+84.7</f>
        <v>10092.000000000002</v>
      </c>
      <c r="E92" s="3">
        <f>D92/D134*100</f>
        <v>7.007919671408286</v>
      </c>
      <c r="F92" s="3">
        <f t="shared" si="11"/>
        <v>97.77080245298923</v>
      </c>
      <c r="G92" s="3">
        <f>D92/C92*100</f>
        <v>25.685729047627536</v>
      </c>
      <c r="H92" s="3">
        <f t="shared" si="12"/>
        <v>230.09999999999854</v>
      </c>
      <c r="I92" s="3">
        <f>C92-D92</f>
        <v>29198.300000000003</v>
      </c>
    </row>
    <row r="93" spans="1:9" ht="8.25" customHeight="1" thickBot="1">
      <c r="A93" s="34"/>
      <c r="B93" s="76"/>
      <c r="C93" s="77"/>
      <c r="D93" s="78"/>
      <c r="E93" s="16"/>
      <c r="F93" s="6"/>
      <c r="G93" s="6"/>
      <c r="H93" s="6"/>
      <c r="I93" s="6"/>
    </row>
    <row r="94" spans="1:9" ht="19.5" hidden="1" thickBot="1">
      <c r="A94" s="35" t="s">
        <v>46</v>
      </c>
      <c r="B94" s="79"/>
      <c r="C94" s="80"/>
      <c r="D94" s="81"/>
      <c r="E94" s="3">
        <f>D94/D134*100</f>
        <v>0</v>
      </c>
      <c r="F94" s="3"/>
      <c r="G94" s="3" t="e">
        <f>D94/C94*100</f>
        <v>#DIV/0!</v>
      </c>
      <c r="H94" s="3"/>
      <c r="I94" s="3">
        <f>C94-D94</f>
        <v>0</v>
      </c>
    </row>
    <row r="95" spans="1:9" ht="5.25" customHeight="1" hidden="1" thickBot="1">
      <c r="A95" s="34"/>
      <c r="B95" s="76"/>
      <c r="C95" s="77"/>
      <c r="D95" s="78"/>
      <c r="E95" s="16"/>
      <c r="F95" s="6"/>
      <c r="G95" s="6"/>
      <c r="H95" s="6"/>
      <c r="I95" s="14"/>
    </row>
    <row r="96" spans="1:9" s="17" customFormat="1" ht="36" customHeight="1" hidden="1" thickBot="1">
      <c r="A96" s="15" t="s">
        <v>68</v>
      </c>
      <c r="B96" s="64"/>
      <c r="C96" s="56"/>
      <c r="D96" s="57"/>
      <c r="E96" s="3">
        <f>D96/D134*100</f>
        <v>0</v>
      </c>
      <c r="F96" s="3" t="e">
        <f>D96/B96*100</f>
        <v>#DIV/0!</v>
      </c>
      <c r="G96" s="3" t="e">
        <f>D96/C96*100</f>
        <v>#DIV/0!</v>
      </c>
      <c r="H96" s="3">
        <f>B96-D96</f>
        <v>0</v>
      </c>
      <c r="I96" s="3">
        <f>C96-D96</f>
        <v>0</v>
      </c>
    </row>
    <row r="97" spans="1:9" ht="6.75" customHeight="1" hidden="1" thickBot="1">
      <c r="A97" s="18"/>
      <c r="B97" s="108"/>
      <c r="C97" s="77"/>
      <c r="D97" s="78"/>
      <c r="E97" s="16"/>
      <c r="F97" s="6"/>
      <c r="G97" s="6"/>
      <c r="H97" s="6"/>
      <c r="I97" s="14"/>
    </row>
    <row r="98" spans="1:9" s="47" customFormat="1" ht="19.5" thickBot="1">
      <c r="A98" s="15" t="s">
        <v>11</v>
      </c>
      <c r="B98" s="64">
        <f>1514.5-188.4</f>
        <v>1326.1</v>
      </c>
      <c r="C98" s="110">
        <v>5290.2</v>
      </c>
      <c r="D98" s="94">
        <f>111.6+19.4+112.6-0.1+0.9+99.9+111.6+6.9+7.2+47.9+73.3+25.9+28.7+425.6+10.7+10.8</f>
        <v>1092.9</v>
      </c>
      <c r="E98" s="27">
        <f>D98/D134*100</f>
        <v>0.7589135363537569</v>
      </c>
      <c r="F98" s="27">
        <f>D98/B98*100</f>
        <v>82.4145992006636</v>
      </c>
      <c r="G98" s="27">
        <f aca="true" t="shared" si="13" ref="G98:G111">D98/C98*100</f>
        <v>20.658954292843372</v>
      </c>
      <c r="H98" s="27">
        <f>B98-D98</f>
        <v>233.19999999999982</v>
      </c>
      <c r="I98" s="27">
        <f aca="true" t="shared" si="14" ref="I98:I132">C98-D98</f>
        <v>4197.299999999999</v>
      </c>
    </row>
    <row r="99" spans="1:9" ht="18">
      <c r="A99" s="95" t="s">
        <v>66</v>
      </c>
      <c r="B99" s="105">
        <v>0</v>
      </c>
      <c r="C99" s="103">
        <v>23.5</v>
      </c>
      <c r="D99" s="103"/>
      <c r="E99" s="99">
        <f>D99/D98*100</f>
        <v>0</v>
      </c>
      <c r="F99" s="1"/>
      <c r="G99" s="99">
        <f>D99/C99*100</f>
        <v>0</v>
      </c>
      <c r="H99" s="99">
        <f>B99-D99</f>
        <v>0</v>
      </c>
      <c r="I99" s="99">
        <f t="shared" si="14"/>
        <v>23.5</v>
      </c>
    </row>
    <row r="100" spans="1:9" ht="18">
      <c r="A100" s="101" t="s">
        <v>65</v>
      </c>
      <c r="B100" s="85">
        <f>1390-162.5</f>
        <v>1227.5</v>
      </c>
      <c r="C100" s="54">
        <v>4699.6</v>
      </c>
      <c r="D100" s="54">
        <f>111.4+112.6+0.9+99.8+111.4+47.6+73.3-0.9+24.7+28.7+415.6+4.4+7.7</f>
        <v>1037.2000000000003</v>
      </c>
      <c r="E100" s="1">
        <f>D100/D98*100</f>
        <v>94.90346783786259</v>
      </c>
      <c r="F100" s="1">
        <f aca="true" t="shared" si="15" ref="F100:F132">D100/B100*100</f>
        <v>84.49694501018332</v>
      </c>
      <c r="G100" s="1">
        <f t="shared" si="13"/>
        <v>22.069963401140527</v>
      </c>
      <c r="H100" s="1">
        <f>B100-D100</f>
        <v>190.29999999999973</v>
      </c>
      <c r="I100" s="1">
        <f t="shared" si="14"/>
        <v>3662.4</v>
      </c>
    </row>
    <row r="101" spans="1:9" ht="18.75" thickBot="1">
      <c r="A101" s="102" t="s">
        <v>35</v>
      </c>
      <c r="B101" s="104">
        <f>B98-B99-B100</f>
        <v>98.59999999999991</v>
      </c>
      <c r="C101" s="104">
        <f>C98-C99-C100</f>
        <v>567.0999999999995</v>
      </c>
      <c r="D101" s="104">
        <f>D98-D99-D100</f>
        <v>55.69999999999982</v>
      </c>
      <c r="E101" s="100">
        <f>D101/D98*100</f>
        <v>5.096532162137415</v>
      </c>
      <c r="F101" s="100">
        <f t="shared" si="15"/>
        <v>56.49087221095321</v>
      </c>
      <c r="G101" s="100">
        <f t="shared" si="13"/>
        <v>9.821900899312269</v>
      </c>
      <c r="H101" s="100">
        <f>B101-D101</f>
        <v>42.90000000000009</v>
      </c>
      <c r="I101" s="100">
        <f t="shared" si="14"/>
        <v>511.39999999999964</v>
      </c>
    </row>
    <row r="102" spans="1:9" s="2" customFormat="1" ht="26.25" customHeight="1" thickBot="1">
      <c r="A102" s="96" t="s">
        <v>36</v>
      </c>
      <c r="B102" s="97">
        <f>SUM(B103:B131)-B110-B114+B132-B127-B128-B104-B107</f>
        <v>3614.4000000000005</v>
      </c>
      <c r="C102" s="97">
        <f>SUM(C103:C131)-C110-C114+C132-C127-C128-C104-C107</f>
        <v>20052.3</v>
      </c>
      <c r="D102" s="97">
        <f>SUM(D103:D131)-D110-D114+D132-D127-D128-D104-D107</f>
        <v>2765.6</v>
      </c>
      <c r="E102" s="98">
        <f>D102/D134*100</f>
        <v>1.920442196120368</v>
      </c>
      <c r="F102" s="98">
        <f>D102/B102*100</f>
        <v>76.51615759185479</v>
      </c>
      <c r="G102" s="98">
        <f t="shared" si="13"/>
        <v>13.791934092348509</v>
      </c>
      <c r="H102" s="98">
        <f>B102-D102</f>
        <v>848.8000000000006</v>
      </c>
      <c r="I102" s="98">
        <f t="shared" si="14"/>
        <v>17286.7</v>
      </c>
    </row>
    <row r="103" spans="1:9" ht="37.5">
      <c r="A103" s="36" t="s">
        <v>69</v>
      </c>
      <c r="B103" s="82">
        <v>660</v>
      </c>
      <c r="C103" s="78">
        <v>1869.9</v>
      </c>
      <c r="D103" s="83">
        <f>1.4+20.1</f>
        <v>21.5</v>
      </c>
      <c r="E103" s="6">
        <f>D103/D102*100</f>
        <v>0.7774081573618745</v>
      </c>
      <c r="F103" s="6">
        <f t="shared" si="15"/>
        <v>3.257575757575758</v>
      </c>
      <c r="G103" s="6">
        <f t="shared" si="13"/>
        <v>1.1497941066367185</v>
      </c>
      <c r="H103" s="6">
        <f aca="true" t="shared" si="16" ref="H103:H132">B103-D103</f>
        <v>638.5</v>
      </c>
      <c r="I103" s="6">
        <f t="shared" si="14"/>
        <v>1848.4</v>
      </c>
    </row>
    <row r="104" spans="1:9" ht="18">
      <c r="A104" s="31" t="s">
        <v>33</v>
      </c>
      <c r="B104" s="85">
        <f>497.1+0.7</f>
        <v>497.8</v>
      </c>
      <c r="C104" s="54">
        <f>1242.6+0.7</f>
        <v>1243.3</v>
      </c>
      <c r="D104" s="86">
        <f>1.4</f>
        <v>1.4</v>
      </c>
      <c r="E104" s="1"/>
      <c r="F104" s="1">
        <f t="shared" si="15"/>
        <v>0.28123744475693047</v>
      </c>
      <c r="G104" s="1">
        <f t="shared" si="13"/>
        <v>0.1126035550550953</v>
      </c>
      <c r="H104" s="1">
        <f t="shared" si="16"/>
        <v>496.40000000000003</v>
      </c>
      <c r="I104" s="1">
        <f t="shared" si="14"/>
        <v>1241.8999999999999</v>
      </c>
    </row>
    <row r="105" spans="1:9" ht="34.5" customHeight="1" hidden="1">
      <c r="A105" s="19" t="s">
        <v>75</v>
      </c>
      <c r="B105" s="84"/>
      <c r="C105" s="71"/>
      <c r="D105" s="83"/>
      <c r="E105" s="6">
        <f>D105/D102*100</f>
        <v>0</v>
      </c>
      <c r="F105" s="6"/>
      <c r="G105" s="6" t="e">
        <f t="shared" si="13"/>
        <v>#DIV/0!</v>
      </c>
      <c r="H105" s="6">
        <f t="shared" si="16"/>
        <v>0</v>
      </c>
      <c r="I105" s="6">
        <f t="shared" si="14"/>
        <v>0</v>
      </c>
    </row>
    <row r="106" spans="1:9" ht="34.5" customHeight="1">
      <c r="A106" s="19" t="s">
        <v>79</v>
      </c>
      <c r="B106" s="84">
        <f>6.6-6.6</f>
        <v>0</v>
      </c>
      <c r="C106" s="71">
        <v>36.5</v>
      </c>
      <c r="D106" s="83"/>
      <c r="E106" s="6">
        <f>D106/D102*100</f>
        <v>0</v>
      </c>
      <c r="F106" s="120" t="e">
        <f t="shared" si="15"/>
        <v>#DIV/0!</v>
      </c>
      <c r="G106" s="6">
        <f t="shared" si="13"/>
        <v>0</v>
      </c>
      <c r="H106" s="6">
        <f t="shared" si="16"/>
        <v>0</v>
      </c>
      <c r="I106" s="6">
        <f t="shared" si="14"/>
        <v>36.5</v>
      </c>
    </row>
    <row r="107" spans="1:9" ht="18" hidden="1">
      <c r="A107" s="31" t="s">
        <v>33</v>
      </c>
      <c r="B107" s="85"/>
      <c r="C107" s="54"/>
      <c r="D107" s="86"/>
      <c r="E107" s="1"/>
      <c r="F107" s="1" t="e">
        <f t="shared" si="15"/>
        <v>#DIV/0!</v>
      </c>
      <c r="G107" s="1" t="e">
        <f t="shared" si="13"/>
        <v>#DIV/0!</v>
      </c>
      <c r="H107" s="1">
        <f t="shared" si="16"/>
        <v>0</v>
      </c>
      <c r="I107" s="1">
        <f t="shared" si="14"/>
        <v>0</v>
      </c>
    </row>
    <row r="108" spans="1:9" ht="37.5">
      <c r="A108" s="19" t="s">
        <v>78</v>
      </c>
      <c r="B108" s="84">
        <f>18.2-7.2</f>
        <v>11</v>
      </c>
      <c r="C108" s="71">
        <v>75.5</v>
      </c>
      <c r="D108" s="83">
        <f>5.5+5.5</f>
        <v>11</v>
      </c>
      <c r="E108" s="6">
        <f>D108/D102*100</f>
        <v>0.3977437084177032</v>
      </c>
      <c r="F108" s="6">
        <f t="shared" si="15"/>
        <v>100</v>
      </c>
      <c r="G108" s="6">
        <f t="shared" si="13"/>
        <v>14.56953642384106</v>
      </c>
      <c r="H108" s="6">
        <f t="shared" si="16"/>
        <v>0</v>
      </c>
      <c r="I108" s="6">
        <f t="shared" si="14"/>
        <v>64.5</v>
      </c>
    </row>
    <row r="109" spans="1:9" ht="37.5">
      <c r="A109" s="19" t="s">
        <v>47</v>
      </c>
      <c r="B109" s="84">
        <f>280.3-48.1</f>
        <v>232.20000000000002</v>
      </c>
      <c r="C109" s="71">
        <v>1050</v>
      </c>
      <c r="D109" s="83">
        <f>149.7+2.5</f>
        <v>152.2</v>
      </c>
      <c r="E109" s="6">
        <f>D109/D102*100</f>
        <v>5.50332658374313</v>
      </c>
      <c r="F109" s="6">
        <f t="shared" si="15"/>
        <v>65.54694229112833</v>
      </c>
      <c r="G109" s="6">
        <f t="shared" si="13"/>
        <v>14.495238095238093</v>
      </c>
      <c r="H109" s="6">
        <f t="shared" si="16"/>
        <v>80.00000000000003</v>
      </c>
      <c r="I109" s="6">
        <f t="shared" si="14"/>
        <v>897.8</v>
      </c>
    </row>
    <row r="110" spans="1:9" ht="18" hidden="1">
      <c r="A110" s="42" t="s">
        <v>54</v>
      </c>
      <c r="B110" s="85"/>
      <c r="C110" s="54"/>
      <c r="D110" s="86"/>
      <c r="E110" s="6"/>
      <c r="F110" s="6" t="e">
        <f t="shared" si="15"/>
        <v>#DIV/0!</v>
      </c>
      <c r="G110" s="1" t="e">
        <f t="shared" si="13"/>
        <v>#DIV/0!</v>
      </c>
      <c r="H110" s="1">
        <f t="shared" si="16"/>
        <v>0</v>
      </c>
      <c r="I110" s="1">
        <f t="shared" si="14"/>
        <v>0</v>
      </c>
    </row>
    <row r="111" spans="1:9" s="47" customFormat="1" ht="18.75" customHeight="1" hidden="1">
      <c r="A111" s="19" t="s">
        <v>61</v>
      </c>
      <c r="B111" s="84">
        <v>0</v>
      </c>
      <c r="C111" s="63">
        <v>51.6</v>
      </c>
      <c r="D111" s="87"/>
      <c r="E111" s="21">
        <f>D111/D102*100</f>
        <v>0</v>
      </c>
      <c r="F111" s="21"/>
      <c r="G111" s="21">
        <f t="shared" si="13"/>
        <v>0</v>
      </c>
      <c r="H111" s="21">
        <f t="shared" si="16"/>
        <v>0</v>
      </c>
      <c r="I111" s="21">
        <f t="shared" si="14"/>
        <v>51.6</v>
      </c>
    </row>
    <row r="112" spans="1:9" ht="37.5">
      <c r="A112" s="19" t="s">
        <v>60</v>
      </c>
      <c r="B112" s="84">
        <f>29.9-25</f>
        <v>4.899999999999999</v>
      </c>
      <c r="C112" s="71">
        <v>488.6</v>
      </c>
      <c r="D112" s="83">
        <v>4.9</v>
      </c>
      <c r="E112" s="6">
        <f>D112/D102*100</f>
        <v>0.17717674284061327</v>
      </c>
      <c r="F112" s="6">
        <f>D112/B112*100</f>
        <v>100.00000000000004</v>
      </c>
      <c r="G112" s="6">
        <f aca="true" t="shared" si="17" ref="G112:G132">D112/C112*100</f>
        <v>1.002865329512894</v>
      </c>
      <c r="H112" s="6">
        <f t="shared" si="16"/>
        <v>0</v>
      </c>
      <c r="I112" s="6">
        <f t="shared" si="14"/>
        <v>483.70000000000005</v>
      </c>
    </row>
    <row r="113" spans="1:9" s="2" customFormat="1" ht="18.75">
      <c r="A113" s="19" t="s">
        <v>16</v>
      </c>
      <c r="B113" s="84">
        <f>47.4-3.5</f>
        <v>43.9</v>
      </c>
      <c r="C113" s="63">
        <v>153.4</v>
      </c>
      <c r="D113" s="83">
        <f>13.5+13.4+14.3+0.8</f>
        <v>42</v>
      </c>
      <c r="E113" s="6">
        <f>D113/D102*100</f>
        <v>1.518657795776685</v>
      </c>
      <c r="F113" s="6">
        <f t="shared" si="15"/>
        <v>95.67198177676538</v>
      </c>
      <c r="G113" s="6">
        <f t="shared" si="17"/>
        <v>27.379400260756192</v>
      </c>
      <c r="H113" s="6">
        <f t="shared" si="16"/>
        <v>1.8999999999999986</v>
      </c>
      <c r="I113" s="6">
        <f t="shared" si="14"/>
        <v>111.4</v>
      </c>
    </row>
    <row r="114" spans="1:9" s="41" customFormat="1" ht="18">
      <c r="A114" s="42" t="s">
        <v>54</v>
      </c>
      <c r="B114" s="85">
        <v>40.4</v>
      </c>
      <c r="C114" s="54">
        <v>121.2</v>
      </c>
      <c r="D114" s="86">
        <f>13.5+13.4+13.5</f>
        <v>40.4</v>
      </c>
      <c r="E114" s="1"/>
      <c r="F114" s="1">
        <f t="shared" si="15"/>
        <v>100</v>
      </c>
      <c r="G114" s="1">
        <f t="shared" si="17"/>
        <v>33.33333333333333</v>
      </c>
      <c r="H114" s="1">
        <f t="shared" si="16"/>
        <v>0</v>
      </c>
      <c r="I114" s="1">
        <f t="shared" si="14"/>
        <v>80.80000000000001</v>
      </c>
    </row>
    <row r="115" spans="1:9" s="2" customFormat="1" ht="18.75">
      <c r="A115" s="19" t="s">
        <v>25</v>
      </c>
      <c r="B115" s="84">
        <v>0</v>
      </c>
      <c r="C115" s="63">
        <v>86.7</v>
      </c>
      <c r="D115" s="83"/>
      <c r="E115" s="6">
        <f>D115/D102*100</f>
        <v>0</v>
      </c>
      <c r="F115" s="6"/>
      <c r="G115" s="6">
        <f t="shared" si="17"/>
        <v>0</v>
      </c>
      <c r="H115" s="6">
        <f t="shared" si="16"/>
        <v>0</v>
      </c>
      <c r="I115" s="6">
        <f t="shared" si="14"/>
        <v>86.7</v>
      </c>
    </row>
    <row r="116" spans="1:9" s="2" customFormat="1" ht="21.75" customHeight="1">
      <c r="A116" s="19" t="s">
        <v>45</v>
      </c>
      <c r="B116" s="84">
        <v>17</v>
      </c>
      <c r="C116" s="63">
        <v>94.7</v>
      </c>
      <c r="D116" s="87">
        <f>16.2</f>
        <v>16.2</v>
      </c>
      <c r="E116" s="21">
        <f>D116/D102*100</f>
        <v>0.5857680069424357</v>
      </c>
      <c r="F116" s="6">
        <f t="shared" si="15"/>
        <v>95.29411764705881</v>
      </c>
      <c r="G116" s="6">
        <f t="shared" si="17"/>
        <v>17.10665258711721</v>
      </c>
      <c r="H116" s="6">
        <f t="shared" si="16"/>
        <v>0.8000000000000007</v>
      </c>
      <c r="I116" s="6">
        <f t="shared" si="14"/>
        <v>78.5</v>
      </c>
    </row>
    <row r="117" spans="1:9" s="2" customFormat="1" ht="37.5">
      <c r="A117" s="19" t="s">
        <v>49</v>
      </c>
      <c r="B117" s="84">
        <f>1076.2-829.9</f>
        <v>246.30000000000007</v>
      </c>
      <c r="C117" s="63">
        <v>1700.1</v>
      </c>
      <c r="D117" s="87">
        <f>196.6+25+11.8</f>
        <v>233.4</v>
      </c>
      <c r="E117" s="21">
        <f>D117/D102*100</f>
        <v>8.439398322244722</v>
      </c>
      <c r="F117" s="6">
        <f t="shared" si="15"/>
        <v>94.76248477466503</v>
      </c>
      <c r="G117" s="6">
        <f t="shared" si="17"/>
        <v>13.728604199752956</v>
      </c>
      <c r="H117" s="6">
        <f t="shared" si="16"/>
        <v>12.900000000000063</v>
      </c>
      <c r="I117" s="6">
        <f t="shared" si="14"/>
        <v>1466.6999999999998</v>
      </c>
    </row>
    <row r="118" spans="1:9" s="2" customFormat="1" ht="56.25">
      <c r="A118" s="19" t="s">
        <v>56</v>
      </c>
      <c r="B118" s="84">
        <v>2</v>
      </c>
      <c r="C118" s="63">
        <v>157.1</v>
      </c>
      <c r="D118" s="87"/>
      <c r="E118" s="21">
        <f>D118/D102*100</f>
        <v>0</v>
      </c>
      <c r="F118" s="6">
        <f t="shared" si="15"/>
        <v>0</v>
      </c>
      <c r="G118" s="6">
        <f t="shared" si="17"/>
        <v>0</v>
      </c>
      <c r="H118" s="6">
        <f t="shared" si="16"/>
        <v>2</v>
      </c>
      <c r="I118" s="6">
        <f t="shared" si="14"/>
        <v>157.1</v>
      </c>
    </row>
    <row r="119" spans="1:9" s="2" customFormat="1" ht="57" customHeight="1">
      <c r="A119" s="19" t="s">
        <v>73</v>
      </c>
      <c r="B119" s="84"/>
      <c r="C119" s="63">
        <v>321.5</v>
      </c>
      <c r="D119" s="87"/>
      <c r="E119" s="21">
        <f>D119/D102*100</f>
        <v>0</v>
      </c>
      <c r="F119" s="120" t="e">
        <f t="shared" si="15"/>
        <v>#DIV/0!</v>
      </c>
      <c r="G119" s="6">
        <f t="shared" si="17"/>
        <v>0</v>
      </c>
      <c r="H119" s="6">
        <f t="shared" si="16"/>
        <v>0</v>
      </c>
      <c r="I119" s="6">
        <f t="shared" si="14"/>
        <v>321.5</v>
      </c>
    </row>
    <row r="120" spans="1:9" s="2" customFormat="1" ht="18.75">
      <c r="A120" s="19" t="s">
        <v>59</v>
      </c>
      <c r="B120" s="84">
        <v>50</v>
      </c>
      <c r="C120" s="63">
        <v>50</v>
      </c>
      <c r="D120" s="87"/>
      <c r="E120" s="21">
        <f>D120/D102*100</f>
        <v>0</v>
      </c>
      <c r="F120" s="6">
        <f t="shared" si="15"/>
        <v>0</v>
      </c>
      <c r="G120" s="6">
        <f t="shared" si="17"/>
        <v>0</v>
      </c>
      <c r="H120" s="6">
        <f t="shared" si="16"/>
        <v>50</v>
      </c>
      <c r="I120" s="6">
        <f t="shared" si="14"/>
        <v>50</v>
      </c>
    </row>
    <row r="121" spans="1:9" s="2" customFormat="1" ht="37.5" hidden="1">
      <c r="A121" s="19" t="s">
        <v>82</v>
      </c>
      <c r="B121" s="84"/>
      <c r="C121" s="63"/>
      <c r="D121" s="87"/>
      <c r="E121" s="21">
        <f>D121/D102*100</f>
        <v>0</v>
      </c>
      <c r="F121" s="6" t="e">
        <f t="shared" si="15"/>
        <v>#DIV/0!</v>
      </c>
      <c r="G121" s="6" t="e">
        <f t="shared" si="17"/>
        <v>#DIV/0!</v>
      </c>
      <c r="H121" s="6">
        <f t="shared" si="16"/>
        <v>0</v>
      </c>
      <c r="I121" s="6">
        <f t="shared" si="14"/>
        <v>0</v>
      </c>
    </row>
    <row r="122" spans="1:9" s="2" customFormat="1" ht="18.75">
      <c r="A122" s="19" t="s">
        <v>76</v>
      </c>
      <c r="B122" s="84">
        <v>19.9</v>
      </c>
      <c r="C122" s="63">
        <v>178.8</v>
      </c>
      <c r="D122" s="87"/>
      <c r="E122" s="21">
        <f>D122/D102*100</f>
        <v>0</v>
      </c>
      <c r="F122" s="6">
        <f t="shared" si="15"/>
        <v>0</v>
      </c>
      <c r="G122" s="6">
        <f t="shared" si="17"/>
        <v>0</v>
      </c>
      <c r="H122" s="6">
        <f t="shared" si="16"/>
        <v>19.9</v>
      </c>
      <c r="I122" s="6">
        <f t="shared" si="14"/>
        <v>178.8</v>
      </c>
    </row>
    <row r="123" spans="1:9" s="2" customFormat="1" ht="35.25" customHeight="1">
      <c r="A123" s="19" t="s">
        <v>74</v>
      </c>
      <c r="B123" s="84">
        <f>7.5-7</f>
        <v>0.5</v>
      </c>
      <c r="C123" s="63">
        <v>67.6</v>
      </c>
      <c r="D123" s="87">
        <f>0.5</f>
        <v>0.5</v>
      </c>
      <c r="E123" s="21">
        <f>D123/D102*100</f>
        <v>0.018079259473531964</v>
      </c>
      <c r="F123" s="6">
        <f t="shared" si="15"/>
        <v>100</v>
      </c>
      <c r="G123" s="6">
        <f t="shared" si="17"/>
        <v>0.7396449704142012</v>
      </c>
      <c r="H123" s="6">
        <f t="shared" si="16"/>
        <v>0</v>
      </c>
      <c r="I123" s="6">
        <f t="shared" si="14"/>
        <v>67.1</v>
      </c>
    </row>
    <row r="124" spans="1:9" s="2" customFormat="1" ht="35.25" customHeight="1">
      <c r="A124" s="19" t="s">
        <v>77</v>
      </c>
      <c r="B124" s="84">
        <v>40</v>
      </c>
      <c r="C124" s="63">
        <v>60</v>
      </c>
      <c r="D124" s="87"/>
      <c r="E124" s="21">
        <f>D124/D102*100</f>
        <v>0</v>
      </c>
      <c r="F124" s="6">
        <f t="shared" si="15"/>
        <v>0</v>
      </c>
      <c r="G124" s="6">
        <f t="shared" si="17"/>
        <v>0</v>
      </c>
      <c r="H124" s="6">
        <f t="shared" si="16"/>
        <v>40</v>
      </c>
      <c r="I124" s="6">
        <f t="shared" si="14"/>
        <v>60</v>
      </c>
    </row>
    <row r="125" spans="1:9" s="2" customFormat="1" ht="18.75">
      <c r="A125" s="19" t="s">
        <v>102</v>
      </c>
      <c r="B125" s="84">
        <f>20-20</f>
        <v>0</v>
      </c>
      <c r="C125" s="63">
        <v>115</v>
      </c>
      <c r="D125" s="87"/>
      <c r="E125" s="21">
        <f>D125/D102*100</f>
        <v>0</v>
      </c>
      <c r="F125" s="120" t="e">
        <f t="shared" si="15"/>
        <v>#DIV/0!</v>
      </c>
      <c r="G125" s="6">
        <f>D125/C125*100</f>
        <v>0</v>
      </c>
      <c r="H125" s="6">
        <f t="shared" si="16"/>
        <v>0</v>
      </c>
      <c r="I125" s="6">
        <f t="shared" si="14"/>
        <v>115</v>
      </c>
    </row>
    <row r="126" spans="1:9" s="2" customFormat="1" ht="18.75">
      <c r="A126" s="19" t="s">
        <v>32</v>
      </c>
      <c r="B126" s="84">
        <f>213.4-20.7</f>
        <v>192.70000000000002</v>
      </c>
      <c r="C126" s="63">
        <v>868.2</v>
      </c>
      <c r="D126" s="87">
        <f>21.4+1.2+34.6+22.6+3.4+31.2+5.1+22.6+3+44.8</f>
        <v>189.90000000000003</v>
      </c>
      <c r="E126" s="21">
        <f>D126/D102*100</f>
        <v>6.866502748047441</v>
      </c>
      <c r="F126" s="6">
        <f t="shared" si="15"/>
        <v>98.5469641930462</v>
      </c>
      <c r="G126" s="6">
        <f t="shared" si="17"/>
        <v>21.872840359364204</v>
      </c>
      <c r="H126" s="6">
        <f t="shared" si="16"/>
        <v>2.799999999999983</v>
      </c>
      <c r="I126" s="6">
        <f t="shared" si="14"/>
        <v>678.3</v>
      </c>
    </row>
    <row r="127" spans="1:9" s="41" customFormat="1" ht="18">
      <c r="A127" s="42" t="s">
        <v>54</v>
      </c>
      <c r="B127" s="85">
        <v>178.6</v>
      </c>
      <c r="C127" s="54">
        <v>747.1</v>
      </c>
      <c r="D127" s="86">
        <f>21.4+1.2+34.6+22.6+31.2+22.6+44.8</f>
        <v>178.40000000000003</v>
      </c>
      <c r="E127" s="1">
        <f>D127/D126*100</f>
        <v>93.94418114797261</v>
      </c>
      <c r="F127" s="1">
        <f>D127/B127*100</f>
        <v>99.88801791713328</v>
      </c>
      <c r="G127" s="1">
        <f t="shared" si="17"/>
        <v>23.878998795341992</v>
      </c>
      <c r="H127" s="1">
        <f t="shared" si="16"/>
        <v>0.1999999999999602</v>
      </c>
      <c r="I127" s="1">
        <f t="shared" si="14"/>
        <v>568.7</v>
      </c>
    </row>
    <row r="128" spans="1:9" s="41" customFormat="1" ht="18">
      <c r="A128" s="31" t="s">
        <v>33</v>
      </c>
      <c r="B128" s="85">
        <f>13.1-6.6</f>
        <v>6.5</v>
      </c>
      <c r="C128" s="54">
        <v>27.4</v>
      </c>
      <c r="D128" s="86">
        <f>3.4+3</f>
        <v>6.4</v>
      </c>
      <c r="E128" s="1">
        <f>D128/D126*100</f>
        <v>3.370194839389152</v>
      </c>
      <c r="F128" s="1">
        <f>D128/B128*100</f>
        <v>98.46153846153847</v>
      </c>
      <c r="G128" s="1">
        <f>D128/C128*100</f>
        <v>23.357664233576646</v>
      </c>
      <c r="H128" s="1">
        <f t="shared" si="16"/>
        <v>0.09999999999999964</v>
      </c>
      <c r="I128" s="1">
        <f t="shared" si="14"/>
        <v>21</v>
      </c>
    </row>
    <row r="129" spans="1:9" s="2" customFormat="1" ht="18.75">
      <c r="A129" s="19" t="s">
        <v>27</v>
      </c>
      <c r="B129" s="84">
        <v>2094</v>
      </c>
      <c r="C129" s="63">
        <v>8376</v>
      </c>
      <c r="D129" s="87">
        <f>1513.1+580.9</f>
        <v>2094</v>
      </c>
      <c r="E129" s="21">
        <f>D129/D102*100</f>
        <v>75.71593867515188</v>
      </c>
      <c r="F129" s="6">
        <f t="shared" si="15"/>
        <v>100</v>
      </c>
      <c r="G129" s="6">
        <f t="shared" si="17"/>
        <v>25</v>
      </c>
      <c r="H129" s="6">
        <f t="shared" si="16"/>
        <v>0</v>
      </c>
      <c r="I129" s="6">
        <f t="shared" si="14"/>
        <v>6282</v>
      </c>
    </row>
    <row r="130" spans="1:12" s="2" customFormat="1" ht="18.75" customHeight="1">
      <c r="A130" s="19" t="s">
        <v>109</v>
      </c>
      <c r="B130" s="84">
        <f>475.8-475.8</f>
        <v>0</v>
      </c>
      <c r="C130" s="63">
        <v>475.8</v>
      </c>
      <c r="D130" s="87"/>
      <c r="E130" s="21">
        <f>D130/D102*100</f>
        <v>0</v>
      </c>
      <c r="F130" s="121" t="e">
        <f>D130/B130*100</f>
        <v>#DIV/0!</v>
      </c>
      <c r="G130" s="6">
        <f t="shared" si="17"/>
        <v>0</v>
      </c>
      <c r="H130" s="6">
        <f t="shared" si="16"/>
        <v>0</v>
      </c>
      <c r="I130" s="6">
        <f t="shared" si="14"/>
        <v>475.8</v>
      </c>
      <c r="K130" s="48"/>
      <c r="L130" s="48"/>
    </row>
    <row r="131" spans="1:12" s="2" customFormat="1" ht="19.5" customHeight="1">
      <c r="A131" s="19" t="s">
        <v>67</v>
      </c>
      <c r="B131" s="84">
        <v>0</v>
      </c>
      <c r="C131" s="63">
        <v>3775.3</v>
      </c>
      <c r="D131" s="87"/>
      <c r="E131" s="21">
        <f>D131/D102*100</f>
        <v>0</v>
      </c>
      <c r="F131" s="6"/>
      <c r="G131" s="6">
        <f t="shared" si="17"/>
        <v>0</v>
      </c>
      <c r="H131" s="6">
        <f t="shared" si="16"/>
        <v>0</v>
      </c>
      <c r="I131" s="6">
        <f t="shared" si="14"/>
        <v>3775.3</v>
      </c>
      <c r="K131" s="107"/>
      <c r="L131" s="48"/>
    </row>
    <row r="132" spans="1:12" s="2" customFormat="1" ht="18.75" hidden="1">
      <c r="A132" s="19" t="s">
        <v>62</v>
      </c>
      <c r="B132" s="84"/>
      <c r="C132" s="63"/>
      <c r="D132" s="87"/>
      <c r="E132" s="21">
        <f>D132/D102*100</f>
        <v>0</v>
      </c>
      <c r="F132" s="6" t="e">
        <f t="shared" si="15"/>
        <v>#DIV/0!</v>
      </c>
      <c r="G132" s="6" t="e">
        <f t="shared" si="17"/>
        <v>#DIV/0!</v>
      </c>
      <c r="H132" s="6">
        <f t="shared" si="16"/>
        <v>0</v>
      </c>
      <c r="I132" s="6">
        <f t="shared" si="14"/>
        <v>0</v>
      </c>
      <c r="K132" s="48"/>
      <c r="L132" s="48"/>
    </row>
    <row r="133" spans="1:12" s="2" customFormat="1" ht="19.5" thickBot="1">
      <c r="A133" s="43" t="s">
        <v>37</v>
      </c>
      <c r="B133" s="88">
        <f>B41+B66+B69+B74+B76+B84+B98+B102+B96+B81+B94</f>
        <v>5216.200000000001</v>
      </c>
      <c r="C133" s="88">
        <f>C41+C66+C69+C74+C76+C84+C98+C102+C96+C81+C94</f>
        <v>27282.4</v>
      </c>
      <c r="D133" s="63">
        <f>D41+D66+D69+D74+D76+D84+D98+D102+D96+D81+D94</f>
        <v>3972.1</v>
      </c>
      <c r="E133" s="21"/>
      <c r="F133" s="21"/>
      <c r="G133" s="6"/>
      <c r="H133" s="6"/>
      <c r="I133" s="22"/>
      <c r="K133" s="48"/>
      <c r="L133" s="48"/>
    </row>
    <row r="134" spans="1:12" ht="19.5" thickBot="1">
      <c r="A134" s="15" t="s">
        <v>19</v>
      </c>
      <c r="B134" s="57">
        <f>B6+B17+B31+B41+B49+B56+B66+B69+B74+B76+B84+B87+B92+B98+B102+B96+B81+B94+B43</f>
        <v>161800.60000000003</v>
      </c>
      <c r="C134" s="57">
        <f>C6+C17+C31+C41+C49+C56+C66+C69+C74+C76+C84+C87+C92+C98+C102+C96+C81+C94+C43</f>
        <v>627326.8</v>
      </c>
      <c r="D134" s="57">
        <f>D6+D17+D31+D41+D49+D56+D66+D69+D74+D76+D84+D87+D92+D98+D102+D96+D81+D94+D43</f>
        <v>144008.5</v>
      </c>
      <c r="E134" s="40">
        <v>100</v>
      </c>
      <c r="F134" s="3">
        <f>D134/B134*100</f>
        <v>89.00368725455898</v>
      </c>
      <c r="G134" s="3">
        <f aca="true" t="shared" si="18" ref="G134:G140">D134/C134*100</f>
        <v>22.955897946652364</v>
      </c>
      <c r="H134" s="3">
        <f aca="true" t="shared" si="19" ref="H134:H140">B134-D134</f>
        <v>17792.100000000035</v>
      </c>
      <c r="I134" s="3">
        <f aca="true" t="shared" si="20" ref="I134:I140">C134-D134</f>
        <v>483318.30000000005</v>
      </c>
      <c r="K134" s="49"/>
      <c r="L134" s="50"/>
    </row>
    <row r="135" spans="1:12" ht="18.75">
      <c r="A135" s="25" t="s">
        <v>5</v>
      </c>
      <c r="B135" s="70">
        <f>B7+B18+B32+B50+B57+B88+B110+B114+B44+B127</f>
        <v>110689.50000000001</v>
      </c>
      <c r="C135" s="70">
        <f>C7+C18+C32+C50+C57+C88+C110+C114+C44+C127</f>
        <v>437725.39999999997</v>
      </c>
      <c r="D135" s="70">
        <f>D7+D18+D32+D50+D57+D88+D110+D114+D44+D127</f>
        <v>108348.90000000001</v>
      </c>
      <c r="E135" s="6">
        <f>D135/D134*100</f>
        <v>75.23785054354431</v>
      </c>
      <c r="F135" s="6">
        <f aca="true" t="shared" si="21" ref="F135:F146">D135/B135*100</f>
        <v>97.88543628799479</v>
      </c>
      <c r="G135" s="6">
        <f t="shared" si="18"/>
        <v>24.75271026081649</v>
      </c>
      <c r="H135" s="6">
        <f t="shared" si="19"/>
        <v>2340.600000000006</v>
      </c>
      <c r="I135" s="20">
        <f t="shared" si="20"/>
        <v>329376.49999999994</v>
      </c>
      <c r="K135" s="49"/>
      <c r="L135" s="50"/>
    </row>
    <row r="136" spans="1:12" ht="18.75">
      <c r="A136" s="25" t="s">
        <v>0</v>
      </c>
      <c r="B136" s="71">
        <f>B10+B21+B34+B53+B59+B89+B47+B128+B104+B107</f>
        <v>20873.3</v>
      </c>
      <c r="C136" s="71">
        <f>C10+C21+C34+C53+C59+C89+C47+C128+C104+C107</f>
        <v>64854.40000000001</v>
      </c>
      <c r="D136" s="71">
        <f>D10+D21+D34+D53+D59+D89+D47+D128+D104+D107</f>
        <v>9936.7</v>
      </c>
      <c r="E136" s="6">
        <f>D136/D134*100</f>
        <v>6.900078814792184</v>
      </c>
      <c r="F136" s="6">
        <f t="shared" si="21"/>
        <v>47.60483488475708</v>
      </c>
      <c r="G136" s="6">
        <f t="shared" si="18"/>
        <v>15.321551043568363</v>
      </c>
      <c r="H136" s="6">
        <f t="shared" si="19"/>
        <v>10936.599999999999</v>
      </c>
      <c r="I136" s="20">
        <f t="shared" si="20"/>
        <v>54917.70000000001</v>
      </c>
      <c r="K136" s="49"/>
      <c r="L136" s="106"/>
    </row>
    <row r="137" spans="1:12" ht="18.75">
      <c r="A137" s="25" t="s">
        <v>1</v>
      </c>
      <c r="B137" s="70">
        <f>B20+B9+B52+B46+B58+B33+B99</f>
        <v>5091.5</v>
      </c>
      <c r="C137" s="70">
        <f>C20+C9+C52+C46+C58+C33+C99</f>
        <v>20323.899999999998</v>
      </c>
      <c r="D137" s="70">
        <f>D20+D9+D52+D46+D58+D33+D99</f>
        <v>4377.700000000002</v>
      </c>
      <c r="E137" s="6">
        <f>D137/D134*100</f>
        <v>3.0398900064926733</v>
      </c>
      <c r="F137" s="6">
        <f t="shared" si="21"/>
        <v>85.98055582834138</v>
      </c>
      <c r="G137" s="6">
        <f t="shared" si="18"/>
        <v>21.539665123327715</v>
      </c>
      <c r="H137" s="6">
        <f t="shared" si="19"/>
        <v>713.7999999999984</v>
      </c>
      <c r="I137" s="20">
        <f t="shared" si="20"/>
        <v>15946.199999999997</v>
      </c>
      <c r="K137" s="49"/>
      <c r="L137" s="50"/>
    </row>
    <row r="138" spans="1:12" ht="21" customHeight="1">
      <c r="A138" s="25" t="s">
        <v>15</v>
      </c>
      <c r="B138" s="70">
        <f>B11+B22+B100+B60+B36+B90</f>
        <v>1625</v>
      </c>
      <c r="C138" s="70">
        <f>C11+C22+C100+C60+C36+C90</f>
        <v>7143.8</v>
      </c>
      <c r="D138" s="70">
        <f>D11+D22+D100+D60+D36+D90</f>
        <v>1403.4</v>
      </c>
      <c r="E138" s="6">
        <f>D138/D134*100</f>
        <v>0.9745258092404268</v>
      </c>
      <c r="F138" s="6">
        <f t="shared" si="21"/>
        <v>86.36307692307693</v>
      </c>
      <c r="G138" s="6">
        <f t="shared" si="18"/>
        <v>19.6450068590946</v>
      </c>
      <c r="H138" s="6">
        <f t="shared" si="19"/>
        <v>221.5999999999999</v>
      </c>
      <c r="I138" s="20">
        <f t="shared" si="20"/>
        <v>5740.4</v>
      </c>
      <c r="K138" s="49"/>
      <c r="L138" s="106"/>
    </row>
    <row r="139" spans="1:12" ht="18.75">
      <c r="A139" s="25" t="s">
        <v>2</v>
      </c>
      <c r="B139" s="70">
        <f>B8+B19+B45+B51</f>
        <v>1411.9</v>
      </c>
      <c r="C139" s="70">
        <f>C8+C19+C45+C51</f>
        <v>7615.1</v>
      </c>
      <c r="D139" s="70">
        <f>D8+D19+D45+D51</f>
        <v>1120.5</v>
      </c>
      <c r="E139" s="6">
        <f>D139/D134*100</f>
        <v>0.7780790717214608</v>
      </c>
      <c r="F139" s="6">
        <f t="shared" si="21"/>
        <v>79.36114455697995</v>
      </c>
      <c r="G139" s="6">
        <f t="shared" si="18"/>
        <v>14.714186287770351</v>
      </c>
      <c r="H139" s="6">
        <f t="shared" si="19"/>
        <v>291.4000000000001</v>
      </c>
      <c r="I139" s="20">
        <f t="shared" si="20"/>
        <v>6494.6</v>
      </c>
      <c r="K139" s="49"/>
      <c r="L139" s="50"/>
    </row>
    <row r="140" spans="1:12" ht="19.5" thickBot="1">
      <c r="A140" s="25" t="s">
        <v>35</v>
      </c>
      <c r="B140" s="70">
        <f>B134-B135-B136-B137-B138-B139</f>
        <v>22109.40000000002</v>
      </c>
      <c r="C140" s="70">
        <f>C134-C135-C136-C137-C138-C139</f>
        <v>89664.20000000007</v>
      </c>
      <c r="D140" s="70">
        <f>D134-D135-D136-D137-D138-D139</f>
        <v>18821.29999999999</v>
      </c>
      <c r="E140" s="6">
        <f>D140/D134*100</f>
        <v>13.069575754208945</v>
      </c>
      <c r="F140" s="6">
        <f t="shared" si="21"/>
        <v>85.12804508489589</v>
      </c>
      <c r="G140" s="46">
        <f t="shared" si="18"/>
        <v>20.99087484191012</v>
      </c>
      <c r="H140" s="6">
        <f t="shared" si="19"/>
        <v>3288.1000000000313</v>
      </c>
      <c r="I140" s="6">
        <f t="shared" si="20"/>
        <v>70842.90000000008</v>
      </c>
      <c r="K140" s="49"/>
      <c r="L140" s="106"/>
    </row>
    <row r="141" spans="1:12" ht="5.25" customHeight="1" thickBot="1">
      <c r="A141" s="37"/>
      <c r="B141" s="89"/>
      <c r="C141" s="90"/>
      <c r="D141" s="90"/>
      <c r="E141" s="23"/>
      <c r="F141" s="23"/>
      <c r="G141" s="23"/>
      <c r="H141" s="23"/>
      <c r="I141" s="24"/>
      <c r="K141" s="49"/>
      <c r="L141" s="49"/>
    </row>
    <row r="142" spans="1:12" ht="18.75">
      <c r="A142" s="34" t="s">
        <v>21</v>
      </c>
      <c r="B142" s="91">
        <v>1880</v>
      </c>
      <c r="C142" s="77">
        <v>1910</v>
      </c>
      <c r="D142" s="77">
        <f>1285.7+343.1+251.2</f>
        <v>1880.0000000000002</v>
      </c>
      <c r="E142" s="16"/>
      <c r="F142" s="6">
        <f t="shared" si="21"/>
        <v>100.00000000000003</v>
      </c>
      <c r="G142" s="6">
        <f aca="true" t="shared" si="22" ref="G142:G151">D142/C142*100</f>
        <v>98.42931937172776</v>
      </c>
      <c r="H142" s="6">
        <f>B142-D142</f>
        <v>0</v>
      </c>
      <c r="I142" s="6">
        <f aca="true" t="shared" si="23" ref="I142:I151">C142-D142</f>
        <v>29.999999999999773</v>
      </c>
      <c r="J142" s="109"/>
      <c r="K142" s="49"/>
      <c r="L142" s="49"/>
    </row>
    <row r="143" spans="1:12" ht="18.75" hidden="1">
      <c r="A143" s="25" t="s">
        <v>22</v>
      </c>
      <c r="B143" s="92"/>
      <c r="C143" s="70"/>
      <c r="D143" s="70"/>
      <c r="E143" s="6"/>
      <c r="F143" s="6" t="e">
        <f t="shared" si="21"/>
        <v>#DIV/0!</v>
      </c>
      <c r="G143" s="6" t="e">
        <f t="shared" si="22"/>
        <v>#DIV/0!</v>
      </c>
      <c r="H143" s="6">
        <f aca="true" t="shared" si="24" ref="H143:H150">B143-D143</f>
        <v>0</v>
      </c>
      <c r="I143" s="6">
        <f t="shared" si="23"/>
        <v>0</v>
      </c>
      <c r="K143" s="49"/>
      <c r="L143" s="49"/>
    </row>
    <row r="144" spans="1:12" ht="18.75">
      <c r="A144" s="25" t="s">
        <v>63</v>
      </c>
      <c r="B144" s="92">
        <f>12701.5-185.6</f>
        <v>12515.9</v>
      </c>
      <c r="C144" s="70">
        <v>29762.7</v>
      </c>
      <c r="D144" s="70">
        <f>6096.5+112.1+30.9+1603.7+825.7-185.6</f>
        <v>8483.3</v>
      </c>
      <c r="E144" s="6"/>
      <c r="F144" s="6">
        <f t="shared" si="21"/>
        <v>67.7801836064526</v>
      </c>
      <c r="G144" s="6">
        <f t="shared" si="22"/>
        <v>28.503126396462687</v>
      </c>
      <c r="H144" s="6">
        <f t="shared" si="24"/>
        <v>4032.6000000000004</v>
      </c>
      <c r="I144" s="6">
        <f t="shared" si="23"/>
        <v>21279.4</v>
      </c>
      <c r="K144" s="49"/>
      <c r="L144" s="49"/>
    </row>
    <row r="145" spans="1:12" ht="37.5" hidden="1">
      <c r="A145" s="25" t="s">
        <v>72</v>
      </c>
      <c r="B145" s="92"/>
      <c r="C145" s="70"/>
      <c r="D145" s="70"/>
      <c r="E145" s="6"/>
      <c r="F145" s="6" t="e">
        <f t="shared" si="21"/>
        <v>#DIV/0!</v>
      </c>
      <c r="G145" s="6" t="e">
        <f t="shared" si="22"/>
        <v>#DIV/0!</v>
      </c>
      <c r="H145" s="6">
        <f t="shared" si="24"/>
        <v>0</v>
      </c>
      <c r="I145" s="6">
        <f t="shared" si="23"/>
        <v>0</v>
      </c>
      <c r="K145" s="49"/>
      <c r="L145" s="49"/>
    </row>
    <row r="146" spans="1:12" ht="18.75">
      <c r="A146" s="25" t="s">
        <v>13</v>
      </c>
      <c r="B146" s="92">
        <f>2522.9-1200</f>
        <v>1322.9</v>
      </c>
      <c r="C146" s="70">
        <v>8750.7</v>
      </c>
      <c r="D146" s="70">
        <f>1079.6+99+23+18.9+98</f>
        <v>1318.5</v>
      </c>
      <c r="E146" s="21"/>
      <c r="F146" s="6">
        <f t="shared" si="21"/>
        <v>99.66739738453397</v>
      </c>
      <c r="G146" s="6">
        <f t="shared" si="22"/>
        <v>15.067366039288284</v>
      </c>
      <c r="H146" s="6">
        <f t="shared" si="24"/>
        <v>4.400000000000091</v>
      </c>
      <c r="I146" s="6">
        <f t="shared" si="23"/>
        <v>7432.200000000001</v>
      </c>
      <c r="K146" s="49"/>
      <c r="L146" s="49"/>
    </row>
    <row r="147" spans="1:12" ht="18.75" hidden="1">
      <c r="A147" s="25" t="s">
        <v>26</v>
      </c>
      <c r="B147" s="92"/>
      <c r="C147" s="70"/>
      <c r="D147" s="70"/>
      <c r="E147" s="21"/>
      <c r="F147" s="6" t="e">
        <f>D147/B147*100</f>
        <v>#DIV/0!</v>
      </c>
      <c r="G147" s="6" t="e">
        <f t="shared" si="22"/>
        <v>#DIV/0!</v>
      </c>
      <c r="H147" s="6">
        <f t="shared" si="24"/>
        <v>0</v>
      </c>
      <c r="I147" s="6">
        <f t="shared" si="23"/>
        <v>0</v>
      </c>
      <c r="K147" s="49"/>
      <c r="L147" s="49"/>
    </row>
    <row r="148" spans="1:9" ht="18.75">
      <c r="A148" s="25" t="s">
        <v>53</v>
      </c>
      <c r="B148" s="92">
        <f>371-371</f>
        <v>0</v>
      </c>
      <c r="C148" s="70">
        <v>790</v>
      </c>
      <c r="D148" s="70"/>
      <c r="E148" s="21"/>
      <c r="F148" s="120" t="e">
        <f>D148/B148*100</f>
        <v>#DIV/0!</v>
      </c>
      <c r="G148" s="6">
        <f t="shared" si="22"/>
        <v>0</v>
      </c>
      <c r="H148" s="6">
        <f t="shared" si="24"/>
        <v>0</v>
      </c>
      <c r="I148" s="6">
        <f t="shared" si="23"/>
        <v>790</v>
      </c>
    </row>
    <row r="149" spans="1:9" ht="19.5" customHeight="1" hidden="1">
      <c r="A149" s="25" t="s">
        <v>70</v>
      </c>
      <c r="B149" s="92"/>
      <c r="C149" s="70"/>
      <c r="D149" s="70"/>
      <c r="E149" s="21"/>
      <c r="F149" s="6" t="e">
        <f>D149/B149*100</f>
        <v>#DIV/0!</v>
      </c>
      <c r="G149" s="6" t="e">
        <f t="shared" si="22"/>
        <v>#DIV/0!</v>
      </c>
      <c r="H149" s="6">
        <f t="shared" si="24"/>
        <v>0</v>
      </c>
      <c r="I149" s="6">
        <f t="shared" si="23"/>
        <v>0</v>
      </c>
    </row>
    <row r="150" spans="1:9" ht="19.5" thickBot="1">
      <c r="A150" s="25" t="s">
        <v>64</v>
      </c>
      <c r="B150" s="92">
        <f>783.1-687.9</f>
        <v>95.20000000000005</v>
      </c>
      <c r="C150" s="93">
        <v>3939.6</v>
      </c>
      <c r="D150" s="93">
        <f>95.1</f>
        <v>95.1</v>
      </c>
      <c r="E150" s="26"/>
      <c r="F150" s="6">
        <f>D150/B150*100</f>
        <v>99.89495798319322</v>
      </c>
      <c r="G150" s="6">
        <f t="shared" si="22"/>
        <v>2.413950654888821</v>
      </c>
      <c r="H150" s="6">
        <f t="shared" si="24"/>
        <v>0.10000000000005116</v>
      </c>
      <c r="I150" s="6">
        <f t="shared" si="23"/>
        <v>3844.5</v>
      </c>
    </row>
    <row r="151" spans="1:9" ht="19.5" thickBot="1">
      <c r="A151" s="15" t="s">
        <v>20</v>
      </c>
      <c r="B151" s="94">
        <f>B134+B142+B146+B147+B143+B150+B149+B144+B148+B145</f>
        <v>177614.60000000003</v>
      </c>
      <c r="C151" s="94">
        <f>C134+C142+C146+C147+C143+C150+C149+C144+C148+C145</f>
        <v>672479.7999999999</v>
      </c>
      <c r="D151" s="94">
        <f>D134+D142+D146+D147+D143+D150+D149+D144+D148+D145</f>
        <v>155785.4</v>
      </c>
      <c r="E151" s="27"/>
      <c r="F151" s="3">
        <f>D151/B151*100</f>
        <v>87.70979412728455</v>
      </c>
      <c r="G151" s="3">
        <f t="shared" si="22"/>
        <v>23.165811077150572</v>
      </c>
      <c r="H151" s="3">
        <f>B151-D151</f>
        <v>21829.20000000004</v>
      </c>
      <c r="I151" s="3">
        <f t="shared" si="23"/>
        <v>516694.3999999999</v>
      </c>
    </row>
    <row r="152" spans="7:8" ht="12.75">
      <c r="G152" s="28"/>
      <c r="H152" s="28"/>
    </row>
    <row r="153" spans="7:9" ht="12.75">
      <c r="G153" s="28"/>
      <c r="H153" s="28"/>
      <c r="I153" s="28"/>
    </row>
    <row r="154" spans="7:8" ht="12.75">
      <c r="G154" s="28"/>
      <c r="H154" s="28"/>
    </row>
    <row r="155" spans="7:8" ht="12.75">
      <c r="G155" s="28"/>
      <c r="H155" s="28"/>
    </row>
    <row r="156" spans="7:8" ht="12.75">
      <c r="G156" s="28"/>
      <c r="H156" s="28"/>
    </row>
    <row r="157" spans="7:8" ht="12.75">
      <c r="G157" s="28"/>
      <c r="H157" s="28"/>
    </row>
    <row r="158" spans="7:8" ht="12.75">
      <c r="G158" s="28"/>
      <c r="H158" s="28"/>
    </row>
    <row r="159" spans="7:8" ht="12.75">
      <c r="G159" s="28"/>
      <c r="H159" s="28"/>
    </row>
    <row r="160" spans="7:8" ht="12.75">
      <c r="G160" s="28"/>
      <c r="H160" s="28"/>
    </row>
    <row r="161" spans="7:8" ht="12.75">
      <c r="G161" s="28"/>
      <c r="H161" s="28"/>
    </row>
    <row r="162" spans="7:8" ht="12.75">
      <c r="G162" s="28"/>
      <c r="H162" s="28"/>
    </row>
    <row r="163" spans="7:8" ht="12.75">
      <c r="G163" s="28"/>
      <c r="H163" s="28"/>
    </row>
    <row r="164" spans="7:8" ht="12.75">
      <c r="G164" s="28"/>
      <c r="H164" s="28"/>
    </row>
    <row r="165" spans="7:8" ht="12.75">
      <c r="G165" s="28"/>
      <c r="H165" s="28"/>
    </row>
    <row r="166" spans="7:8" ht="12.75">
      <c r="G166" s="28"/>
      <c r="H166" s="28"/>
    </row>
    <row r="167" spans="7:8" ht="12.75">
      <c r="G167" s="28"/>
      <c r="H167" s="28"/>
    </row>
    <row r="168" spans="7:8" ht="12.75">
      <c r="G168" s="28"/>
      <c r="H168" s="28"/>
    </row>
    <row r="169" spans="7:8" ht="12.75">
      <c r="G169" s="28"/>
      <c r="H169" s="28"/>
    </row>
    <row r="170" spans="7:8" ht="12.75">
      <c r="G170" s="28"/>
      <c r="H170" s="28"/>
    </row>
    <row r="171" spans="7:8" ht="12.75">
      <c r="G171" s="28"/>
      <c r="H171" s="28"/>
    </row>
    <row r="172" spans="7:8" ht="12.75">
      <c r="G172" s="28"/>
      <c r="H172" s="28"/>
    </row>
    <row r="173" spans="7:8" ht="12.75">
      <c r="G173" s="28"/>
      <c r="H173" s="28"/>
    </row>
    <row r="174" spans="7:8" ht="12.75">
      <c r="G174" s="28"/>
      <c r="H174" s="28"/>
    </row>
    <row r="175" spans="7:8" ht="12.75">
      <c r="G175" s="28"/>
      <c r="H175" s="28"/>
    </row>
    <row r="176" spans="7:8" ht="12.75">
      <c r="G176" s="28"/>
      <c r="H176" s="28"/>
    </row>
    <row r="177" spans="7:8" ht="12.75">
      <c r="G177" s="28"/>
      <c r="H177" s="28"/>
    </row>
    <row r="178" spans="7:8" ht="12.75">
      <c r="G178" s="28"/>
      <c r="H178" s="28"/>
    </row>
    <row r="179" spans="7:8" ht="12.75">
      <c r="G179" s="28"/>
      <c r="H179" s="28"/>
    </row>
    <row r="180" spans="7:8" ht="12.75">
      <c r="G180" s="28"/>
      <c r="H180" s="28"/>
    </row>
    <row r="181" spans="7:8" ht="12.75">
      <c r="G181" s="28"/>
      <c r="H181" s="28"/>
    </row>
    <row r="182" spans="7:8" ht="12.75">
      <c r="G182" s="28"/>
      <c r="H182" s="28"/>
    </row>
    <row r="183" spans="7:8" ht="12.75">
      <c r="G183" s="28"/>
      <c r="H183" s="28"/>
    </row>
    <row r="184" spans="7:8" ht="12.75">
      <c r="G184" s="28"/>
      <c r="H184" s="28"/>
    </row>
    <row r="185" spans="7:8" ht="12.75">
      <c r="G185" s="28"/>
      <c r="H185" s="28"/>
    </row>
    <row r="186" spans="7:8" ht="12.75">
      <c r="G186" s="28"/>
      <c r="H186" s="28"/>
    </row>
    <row r="187" spans="7:8" ht="12.75">
      <c r="G187" s="28"/>
      <c r="H187" s="28"/>
    </row>
    <row r="188" spans="7:8" ht="12.75">
      <c r="G188" s="28"/>
      <c r="H188" s="28"/>
    </row>
    <row r="189" spans="7:8" ht="12.75">
      <c r="G189" s="28"/>
      <c r="H189" s="28"/>
    </row>
    <row r="190" spans="7:8" ht="12.75">
      <c r="G190" s="28"/>
      <c r="H190" s="28"/>
    </row>
    <row r="191" spans="7:8" ht="12.75">
      <c r="G191" s="28"/>
      <c r="H191" s="28"/>
    </row>
    <row r="192" spans="7:8" ht="12.75">
      <c r="G192" s="28"/>
      <c r="H192" s="28"/>
    </row>
    <row r="193" spans="7:8" ht="12.75">
      <c r="G193" s="28"/>
      <c r="H193" s="28"/>
    </row>
    <row r="194" spans="7:8" ht="12.75">
      <c r="G194" s="28"/>
      <c r="H194" s="28"/>
    </row>
    <row r="195" spans="7:8" ht="12.75">
      <c r="G195" s="28"/>
      <c r="H195" s="28"/>
    </row>
    <row r="196" spans="7:8" ht="12.75">
      <c r="G196" s="28"/>
      <c r="H196" s="28"/>
    </row>
    <row r="197" spans="7:8" ht="12.75">
      <c r="G197" s="28"/>
      <c r="H197" s="28"/>
    </row>
    <row r="198" spans="7:8" ht="12.75">
      <c r="G198" s="28"/>
      <c r="H198" s="28"/>
    </row>
    <row r="199" spans="7:8" ht="12.75">
      <c r="G199" s="28"/>
      <c r="H199" s="28"/>
    </row>
    <row r="200" spans="7:8" ht="12.75">
      <c r="G200" s="28"/>
      <c r="H200" s="28"/>
    </row>
    <row r="201" spans="7:8" ht="12.75">
      <c r="G201" s="28"/>
      <c r="H201" s="28"/>
    </row>
    <row r="202" spans="7:8" ht="12.75">
      <c r="G202" s="28"/>
      <c r="H202" s="28"/>
    </row>
    <row r="203" spans="7:8" ht="12.75">
      <c r="G203" s="28"/>
      <c r="H203" s="28"/>
    </row>
    <row r="204" spans="7:8" ht="12.75">
      <c r="G204" s="28"/>
      <c r="H204" s="28"/>
    </row>
    <row r="205" spans="7:8" ht="12.75">
      <c r="G205" s="28"/>
      <c r="H205" s="28"/>
    </row>
    <row r="206" spans="7:8" ht="12.75">
      <c r="G206" s="28"/>
      <c r="H206" s="28"/>
    </row>
    <row r="207" spans="7:8" ht="12.75">
      <c r="G207" s="28"/>
      <c r="H207" s="28"/>
    </row>
    <row r="208" spans="7:8" ht="12.75">
      <c r="G208" s="28"/>
      <c r="H208" s="28"/>
    </row>
    <row r="209" spans="7:8" ht="12.75">
      <c r="G209" s="28"/>
      <c r="H209" s="28"/>
    </row>
    <row r="210" spans="7:8" ht="12.75">
      <c r="G210" s="28"/>
      <c r="H210" s="28"/>
    </row>
    <row r="211" spans="7:8" ht="12.75">
      <c r="G211" s="28"/>
      <c r="H211" s="28"/>
    </row>
    <row r="212" spans="7:8" ht="12.75">
      <c r="G212" s="28"/>
      <c r="H212" s="28"/>
    </row>
    <row r="213" spans="7:8" ht="12.75">
      <c r="G213" s="28"/>
      <c r="H213" s="28"/>
    </row>
    <row r="214" spans="7:8" ht="12.75">
      <c r="G214" s="28"/>
      <c r="H214" s="28"/>
    </row>
    <row r="215" spans="7:8" ht="12.75">
      <c r="G215" s="28"/>
      <c r="H215" s="28"/>
    </row>
    <row r="216" spans="7:8" ht="12.75">
      <c r="G216" s="28"/>
      <c r="H216" s="28"/>
    </row>
    <row r="217" spans="7:8" ht="12.75">
      <c r="G217" s="28"/>
      <c r="H217" s="28"/>
    </row>
    <row r="218" spans="7:8" ht="12.75">
      <c r="G218" s="28"/>
      <c r="H218" s="28"/>
    </row>
    <row r="219" spans="7:8" ht="12.75">
      <c r="G219" s="28"/>
      <c r="H219" s="28"/>
    </row>
    <row r="220" spans="7:8" ht="12.75">
      <c r="G220" s="28"/>
      <c r="H220" s="28"/>
    </row>
    <row r="221" spans="7:8" ht="12.75">
      <c r="G221" s="28"/>
      <c r="H221" s="28"/>
    </row>
    <row r="222" spans="7:8" ht="12.75">
      <c r="G222" s="28"/>
      <c r="H222" s="28"/>
    </row>
    <row r="223" spans="7:8" ht="12.75">
      <c r="G223" s="28"/>
      <c r="H223" s="28"/>
    </row>
    <row r="224" spans="7:8" ht="12.75">
      <c r="G224" s="28"/>
      <c r="H224" s="28"/>
    </row>
    <row r="225" spans="7:8" ht="12.75">
      <c r="G225" s="28"/>
      <c r="H225" s="28"/>
    </row>
    <row r="226" spans="7:8" ht="12.75">
      <c r="G226" s="28"/>
      <c r="H226" s="28"/>
    </row>
    <row r="227" spans="7:8" ht="12.75">
      <c r="G227" s="28"/>
      <c r="H227" s="28"/>
    </row>
    <row r="228" spans="7:8" ht="12.75">
      <c r="G228" s="28"/>
      <c r="H228" s="28"/>
    </row>
    <row r="229" spans="7:8" ht="12.75">
      <c r="G229" s="28"/>
      <c r="H229" s="28"/>
    </row>
    <row r="230" spans="7:8" ht="12.75">
      <c r="G230" s="28"/>
      <c r="H230" s="28"/>
    </row>
    <row r="231" spans="7:8" ht="12.75">
      <c r="G231" s="28"/>
      <c r="H231" s="28"/>
    </row>
    <row r="232" spans="7:8" ht="12.75">
      <c r="G232" s="28"/>
      <c r="H232" s="28"/>
    </row>
    <row r="233" spans="7:8" ht="12.75">
      <c r="G233" s="28"/>
      <c r="H233" s="28"/>
    </row>
    <row r="234" spans="7:8" ht="12.75">
      <c r="G234" s="28"/>
      <c r="H234" s="28"/>
    </row>
    <row r="235" spans="7:8" ht="12.75">
      <c r="G235" s="28"/>
      <c r="H235" s="28"/>
    </row>
    <row r="236" spans="7:8" ht="12.75">
      <c r="G236" s="28"/>
      <c r="H236" s="28"/>
    </row>
    <row r="237" spans="7:8" ht="12.75">
      <c r="G237" s="28"/>
      <c r="H237" s="28"/>
    </row>
    <row r="238" spans="7:8" ht="12.75">
      <c r="G238" s="28"/>
      <c r="H238" s="28"/>
    </row>
    <row r="239" spans="7:8" ht="12.75">
      <c r="G239" s="28"/>
      <c r="H239" s="28"/>
    </row>
    <row r="240" spans="7:8" ht="12.75">
      <c r="G240" s="28"/>
      <c r="H240" s="28"/>
    </row>
    <row r="241" spans="7:8" ht="12.75">
      <c r="G241" s="28"/>
      <c r="H241" s="28"/>
    </row>
    <row r="242" spans="7:8" ht="12.75">
      <c r="G242" s="28"/>
      <c r="H242" s="28"/>
    </row>
    <row r="243" spans="7:8" ht="12.75">
      <c r="G243" s="28"/>
      <c r="H243" s="28"/>
    </row>
    <row r="244" spans="7:8" ht="12.75">
      <c r="G244" s="28"/>
      <c r="H244" s="28"/>
    </row>
    <row r="245" spans="7:8" ht="12.75">
      <c r="G245" s="28"/>
      <c r="H245" s="28"/>
    </row>
    <row r="246" spans="7:8" ht="12.75">
      <c r="G246" s="28"/>
      <c r="H246" s="28"/>
    </row>
    <row r="247" spans="7:8" ht="12.75">
      <c r="G247" s="28"/>
      <c r="H247" s="28"/>
    </row>
    <row r="248" spans="7:8" ht="12.75">
      <c r="G248" s="28"/>
      <c r="H248" s="28"/>
    </row>
    <row r="249" spans="7:8" ht="12.75">
      <c r="G249" s="28"/>
      <c r="H249" s="28"/>
    </row>
    <row r="250" spans="7:8" ht="12.75">
      <c r="G250" s="28"/>
      <c r="H250" s="28"/>
    </row>
    <row r="251" spans="7:8" ht="12.75">
      <c r="G251" s="28"/>
      <c r="H251" s="28"/>
    </row>
    <row r="252" spans="7:8" ht="12.75">
      <c r="G252" s="28"/>
      <c r="H252" s="28"/>
    </row>
    <row r="253" spans="7:8" ht="12.75">
      <c r="G253" s="28"/>
      <c r="H253" s="28"/>
    </row>
    <row r="254" spans="7:8" ht="12.75">
      <c r="G254" s="28"/>
      <c r="H254" s="28"/>
    </row>
    <row r="255" spans="7:8" ht="12.75">
      <c r="G255" s="28"/>
      <c r="H255" s="28"/>
    </row>
    <row r="256" spans="7:8" ht="12.75">
      <c r="G256" s="28"/>
      <c r="H256" s="28"/>
    </row>
    <row r="257" spans="7:8" ht="12.75">
      <c r="G257" s="28"/>
      <c r="H257" s="28"/>
    </row>
    <row r="258" spans="7:8" ht="12.75">
      <c r="G258" s="28"/>
      <c r="H258" s="28"/>
    </row>
    <row r="259" spans="7:8" ht="12.75">
      <c r="G259" s="28"/>
      <c r="H259" s="28"/>
    </row>
    <row r="260" spans="7:8" ht="12.75">
      <c r="G260" s="28"/>
      <c r="H260" s="28"/>
    </row>
    <row r="261" spans="7:8" ht="12.75">
      <c r="G261" s="28"/>
      <c r="H261" s="28"/>
    </row>
    <row r="262" spans="7:8" ht="12.75">
      <c r="G262" s="28"/>
      <c r="H262" s="28"/>
    </row>
    <row r="263" spans="7:8" ht="12.75">
      <c r="G263" s="28"/>
      <c r="H263" s="28"/>
    </row>
    <row r="264" spans="7:8" ht="12.75">
      <c r="G264" s="28"/>
      <c r="H264" s="28"/>
    </row>
    <row r="265" spans="7:8" ht="12.75">
      <c r="G265" s="28"/>
      <c r="H265" s="28"/>
    </row>
    <row r="266" spans="7:8" ht="12.75">
      <c r="G266" s="28"/>
      <c r="H266" s="28"/>
    </row>
    <row r="267" spans="7:8" ht="12.75">
      <c r="G267" s="28"/>
      <c r="H267" s="28"/>
    </row>
    <row r="268" spans="7:8" ht="12.75">
      <c r="G268" s="28"/>
      <c r="H268" s="28"/>
    </row>
    <row r="269" spans="7:8" ht="12.75">
      <c r="G269" s="28"/>
      <c r="H269" s="28"/>
    </row>
    <row r="270" spans="7:8" ht="12.75">
      <c r="G270" s="28"/>
      <c r="H270" s="28"/>
    </row>
    <row r="271" spans="7:8" ht="12.75">
      <c r="G271" s="28"/>
      <c r="H271" s="28"/>
    </row>
    <row r="272" spans="7:8" ht="12.75">
      <c r="G272" s="28"/>
      <c r="H272" s="28"/>
    </row>
    <row r="273" spans="7:8" ht="12.75">
      <c r="G273" s="28"/>
      <c r="H273" s="28"/>
    </row>
    <row r="274" spans="7:8" ht="12.75">
      <c r="G274" s="28"/>
      <c r="H274" s="28"/>
    </row>
    <row r="275" spans="7:8" ht="12.75">
      <c r="G275" s="28"/>
      <c r="H275" s="28"/>
    </row>
    <row r="276" spans="7:8" ht="12.75">
      <c r="G276" s="28"/>
      <c r="H276" s="28"/>
    </row>
    <row r="277" spans="7:8" ht="12.75">
      <c r="G277" s="28"/>
      <c r="H277" s="28"/>
    </row>
    <row r="278" spans="7:8" ht="12.75">
      <c r="G278" s="28"/>
      <c r="H278" s="28"/>
    </row>
    <row r="279" spans="7:8" ht="12.75">
      <c r="G279" s="28"/>
      <c r="H279" s="28"/>
    </row>
    <row r="280" spans="7:8" ht="12.75">
      <c r="G280" s="28"/>
      <c r="H280" s="28"/>
    </row>
    <row r="281" spans="7:8" ht="12.75">
      <c r="G281" s="28"/>
      <c r="H281" s="28"/>
    </row>
    <row r="282" spans="7:8" ht="12.75">
      <c r="G282" s="28"/>
      <c r="H282" s="28"/>
    </row>
    <row r="283" spans="7:8" ht="12.75">
      <c r="G283" s="28"/>
      <c r="H283" s="28"/>
    </row>
    <row r="284" spans="7:8" ht="12.75">
      <c r="G284" s="28"/>
      <c r="H284" s="28"/>
    </row>
    <row r="285" spans="7:8" ht="12.75">
      <c r="G285" s="28"/>
      <c r="H285" s="28"/>
    </row>
    <row r="286" spans="7:8" ht="12.75">
      <c r="G286" s="28"/>
      <c r="H286" s="28"/>
    </row>
    <row r="287" spans="7:8" ht="12.75">
      <c r="G287" s="28"/>
      <c r="H287" s="28"/>
    </row>
    <row r="288" spans="7:8" ht="12.75">
      <c r="G288" s="28"/>
      <c r="H288" s="28"/>
    </row>
    <row r="289" spans="7:8" ht="12.75">
      <c r="G289" s="28"/>
      <c r="H289" s="28"/>
    </row>
    <row r="290" spans="7:8" ht="12.75">
      <c r="G290" s="28"/>
      <c r="H290" s="28"/>
    </row>
    <row r="291" spans="7:8" ht="12.75">
      <c r="G291" s="28"/>
      <c r="H291" s="28"/>
    </row>
    <row r="292" spans="7:8" ht="12.75">
      <c r="G292" s="28"/>
      <c r="H292" s="28"/>
    </row>
    <row r="293" spans="7:8" ht="12.75">
      <c r="G293" s="28"/>
      <c r="H293" s="28"/>
    </row>
    <row r="294" spans="7:8" ht="12.75">
      <c r="G294" s="28"/>
      <c r="H294" s="28"/>
    </row>
    <row r="295" spans="7:8" ht="12.75">
      <c r="G295" s="28"/>
      <c r="H295" s="28"/>
    </row>
    <row r="296" spans="7:8" ht="12.75">
      <c r="G296" s="28"/>
      <c r="H296" s="28"/>
    </row>
    <row r="297" spans="7:8" ht="12.75">
      <c r="G297" s="28"/>
      <c r="H297" s="28"/>
    </row>
    <row r="298" spans="7:8" ht="12.75">
      <c r="G298" s="28"/>
      <c r="H298" s="28"/>
    </row>
    <row r="299" spans="7:8" ht="12.75">
      <c r="G299" s="28"/>
      <c r="H299" s="28"/>
    </row>
    <row r="300" spans="7:8" ht="12.75">
      <c r="G300" s="28"/>
      <c r="H300" s="28"/>
    </row>
    <row r="301" spans="7:8" ht="12.75">
      <c r="G301" s="28"/>
      <c r="H301" s="28"/>
    </row>
    <row r="302" spans="7:8" ht="12.75">
      <c r="G302" s="28"/>
      <c r="H302" s="28"/>
    </row>
    <row r="303" spans="7:8" ht="12.75">
      <c r="G303" s="28"/>
      <c r="H303" s="28"/>
    </row>
    <row r="304" spans="7:8" ht="12.75">
      <c r="G304" s="28"/>
      <c r="H304" s="28"/>
    </row>
    <row r="305" spans="7:8" ht="12.75">
      <c r="G305" s="28"/>
      <c r="H305" s="28"/>
    </row>
    <row r="306" spans="7:8" ht="12.75">
      <c r="G306" s="28"/>
      <c r="H306" s="28"/>
    </row>
    <row r="307" spans="7:8" ht="12.75">
      <c r="G307" s="28"/>
      <c r="H307" s="28"/>
    </row>
    <row r="308" spans="7:8" ht="12.75">
      <c r="G308" s="28"/>
      <c r="H308" s="28"/>
    </row>
    <row r="309" spans="7:8" ht="12.75">
      <c r="G309" s="28"/>
      <c r="H309" s="28"/>
    </row>
    <row r="310" spans="7:8" ht="12.75">
      <c r="G310" s="28"/>
      <c r="H310" s="28"/>
    </row>
    <row r="311" spans="7:8" ht="12.75">
      <c r="G311" s="28"/>
      <c r="H311" s="28"/>
    </row>
    <row r="312" spans="7:8" ht="12.75">
      <c r="G312" s="28"/>
      <c r="H312" s="28"/>
    </row>
    <row r="313" spans="7:8" ht="12.75">
      <c r="G313" s="28"/>
      <c r="H313" s="28"/>
    </row>
    <row r="314" spans="7:8" ht="12.75">
      <c r="G314" s="28"/>
      <c r="H314" s="28"/>
    </row>
    <row r="315" spans="7:8" ht="12.75">
      <c r="G315" s="28"/>
      <c r="H315" s="28"/>
    </row>
    <row r="316" spans="7:8" ht="12.75">
      <c r="G316" s="28"/>
      <c r="H316" s="28"/>
    </row>
    <row r="317" spans="7:8" ht="12.75">
      <c r="G317" s="28"/>
      <c r="H317" s="28"/>
    </row>
    <row r="318" spans="7:8" ht="12.75">
      <c r="G318" s="28"/>
      <c r="H318" s="28"/>
    </row>
    <row r="319" spans="7:8" ht="12.75">
      <c r="G319" s="28"/>
      <c r="H319" s="28"/>
    </row>
    <row r="320" spans="7:8" ht="12.75">
      <c r="G320" s="28"/>
      <c r="H320" s="28"/>
    </row>
    <row r="321" spans="7:8" ht="12.75">
      <c r="G321" s="28"/>
      <c r="H321" s="28"/>
    </row>
    <row r="322" spans="7:8" ht="12.75">
      <c r="G322" s="28"/>
      <c r="H322" s="28"/>
    </row>
    <row r="323" spans="7:8" ht="12.75">
      <c r="G323" s="28"/>
      <c r="H323" s="28"/>
    </row>
    <row r="324" spans="7:8" ht="12.75">
      <c r="G324" s="28"/>
      <c r="H324" s="28"/>
    </row>
    <row r="325" spans="7:8" ht="12.75">
      <c r="G325" s="28"/>
      <c r="H325" s="28"/>
    </row>
    <row r="326" spans="7:8" ht="12.75">
      <c r="G326" s="28"/>
      <c r="H326" s="28"/>
    </row>
    <row r="327" spans="7:8" ht="12.75">
      <c r="G327" s="28"/>
      <c r="H327" s="28"/>
    </row>
    <row r="328" spans="7:8" ht="12.75">
      <c r="G328" s="28"/>
      <c r="H328" s="28"/>
    </row>
    <row r="329" spans="7:8" ht="12.75">
      <c r="G329" s="28"/>
      <c r="H329" s="28"/>
    </row>
    <row r="330" spans="7:8" ht="12.75">
      <c r="G330" s="28"/>
      <c r="H330" s="28"/>
    </row>
    <row r="331" spans="7:8" ht="12.75">
      <c r="G331" s="28"/>
      <c r="H331" s="28"/>
    </row>
    <row r="332" spans="7:8" ht="12.75">
      <c r="G332" s="28"/>
      <c r="H332" s="28"/>
    </row>
    <row r="333" spans="7:8" ht="12.75">
      <c r="G333" s="28"/>
      <c r="H333" s="28"/>
    </row>
    <row r="334" spans="7:8" ht="12.75">
      <c r="G334" s="28"/>
      <c r="H334" s="28"/>
    </row>
    <row r="335" spans="7:8" ht="12.75">
      <c r="G335" s="28"/>
      <c r="H335" s="28"/>
    </row>
    <row r="336" spans="7:8" ht="12.75">
      <c r="G336" s="28"/>
      <c r="H336" s="28"/>
    </row>
    <row r="337" spans="7:8" ht="12.75">
      <c r="G337" s="28"/>
      <c r="H337" s="28"/>
    </row>
    <row r="338" spans="7:8" ht="12.75">
      <c r="G338" s="28"/>
      <c r="H338" s="28"/>
    </row>
    <row r="339" spans="7:8" ht="12.75">
      <c r="G339" s="28"/>
      <c r="H339" s="28"/>
    </row>
    <row r="340" spans="7:8" ht="12.75">
      <c r="G340" s="28"/>
      <c r="H340" s="28"/>
    </row>
    <row r="341" spans="7:8" ht="12.75">
      <c r="G341" s="28"/>
      <c r="H341" s="28"/>
    </row>
    <row r="342" spans="7:8" ht="12.75">
      <c r="G342" s="28"/>
      <c r="H342" s="28"/>
    </row>
    <row r="343" spans="7:8" ht="12.75">
      <c r="G343" s="28"/>
      <c r="H343" s="28"/>
    </row>
    <row r="344" spans="7:8" ht="12.75">
      <c r="G344" s="28"/>
      <c r="H344" s="28"/>
    </row>
    <row r="345" spans="7:8" ht="12.75">
      <c r="G345" s="28"/>
      <c r="H345" s="28"/>
    </row>
    <row r="346" spans="7:8" ht="12.75">
      <c r="G346" s="28"/>
      <c r="H346" s="28"/>
    </row>
    <row r="347" spans="7:8" ht="12.75">
      <c r="G347" s="28"/>
      <c r="H347" s="28"/>
    </row>
    <row r="348" spans="7:8" ht="12.75">
      <c r="G348" s="28"/>
      <c r="H348" s="28"/>
    </row>
    <row r="349" spans="7:8" ht="12.75">
      <c r="G349" s="28"/>
      <c r="H349" s="28"/>
    </row>
    <row r="350" spans="7:8" ht="12.75">
      <c r="G350" s="28"/>
      <c r="H350" s="28"/>
    </row>
    <row r="351" spans="7:8" ht="12.75">
      <c r="G351" s="28"/>
      <c r="H351" s="28"/>
    </row>
    <row r="352" spans="7:8" ht="12.75">
      <c r="G352" s="28"/>
      <c r="H352" s="28"/>
    </row>
    <row r="353" spans="7:8" ht="12.75">
      <c r="G353" s="28"/>
      <c r="H353" s="28"/>
    </row>
    <row r="354" spans="7:8" ht="12.75">
      <c r="G354" s="28"/>
      <c r="H354" s="28"/>
    </row>
    <row r="355" spans="7:8" ht="12.75">
      <c r="G355" s="28"/>
      <c r="H355" s="28"/>
    </row>
    <row r="356" spans="7:8" ht="12.75">
      <c r="G356" s="28"/>
      <c r="H356" s="28"/>
    </row>
    <row r="357" spans="7:8" ht="12.75">
      <c r="G357" s="28"/>
      <c r="H357" s="28"/>
    </row>
    <row r="358" spans="7:8" ht="12.75">
      <c r="G358" s="28"/>
      <c r="H358" s="28"/>
    </row>
    <row r="359" spans="7:8" ht="12.75">
      <c r="G359" s="28"/>
      <c r="H359" s="28"/>
    </row>
    <row r="360" spans="7:8" ht="12.75">
      <c r="G360" s="28"/>
      <c r="H360" s="28"/>
    </row>
    <row r="361" spans="7:8" ht="12.75">
      <c r="G361" s="28"/>
      <c r="H361" s="28"/>
    </row>
    <row r="362" spans="7:8" ht="12.75">
      <c r="G362" s="28"/>
      <c r="H362" s="28"/>
    </row>
    <row r="363" spans="7:8" ht="12.75">
      <c r="G363" s="28"/>
      <c r="H363" s="28"/>
    </row>
    <row r="364" spans="7:8" ht="12.75">
      <c r="G364" s="28"/>
      <c r="H364" s="28"/>
    </row>
    <row r="365" spans="7:8" ht="12.75">
      <c r="G365" s="28"/>
      <c r="H365" s="28"/>
    </row>
    <row r="366" spans="7:8" ht="12.75">
      <c r="G366" s="28"/>
      <c r="H366" s="28"/>
    </row>
    <row r="367" spans="7:8" ht="12.75">
      <c r="G367" s="28"/>
      <c r="H367" s="28"/>
    </row>
    <row r="368" spans="7:8" ht="12.75">
      <c r="G368" s="28"/>
      <c r="H368" s="28"/>
    </row>
    <row r="369" spans="7:8" ht="12.75">
      <c r="G369" s="28"/>
      <c r="H369" s="28"/>
    </row>
    <row r="370" spans="7:8" ht="12.75">
      <c r="G370" s="28"/>
      <c r="H370" s="28"/>
    </row>
    <row r="371" spans="7:8" ht="12.75">
      <c r="G371" s="28"/>
      <c r="H371" s="28"/>
    </row>
    <row r="372" spans="7:8" ht="12.75">
      <c r="G372" s="28"/>
      <c r="H372" s="28"/>
    </row>
    <row r="373" spans="7:8" ht="12.75">
      <c r="G373" s="28"/>
      <c r="H373" s="28"/>
    </row>
    <row r="374" spans="7:8" ht="12.75">
      <c r="G374" s="28"/>
      <c r="H374" s="28"/>
    </row>
    <row r="375" spans="7:8" ht="12.75">
      <c r="G375" s="28"/>
      <c r="H375" s="28"/>
    </row>
    <row r="376" spans="7:8" ht="12.75">
      <c r="G376" s="28"/>
      <c r="H376" s="28"/>
    </row>
    <row r="377" spans="7:8" ht="12.75">
      <c r="G377" s="28"/>
      <c r="H377" s="28"/>
    </row>
    <row r="378" spans="7:8" ht="12.75">
      <c r="G378" s="28"/>
      <c r="H378" s="28"/>
    </row>
    <row r="379" spans="7:8" ht="12.75">
      <c r="G379" s="28"/>
      <c r="H379" s="28"/>
    </row>
    <row r="380" spans="7:8" ht="12.75">
      <c r="G380" s="28"/>
      <c r="H380" s="28"/>
    </row>
    <row r="381" spans="7:8" ht="12.75">
      <c r="G381" s="28"/>
      <c r="H381" s="28"/>
    </row>
    <row r="382" spans="7:8" ht="12.75">
      <c r="G382" s="28"/>
      <c r="H382" s="28"/>
    </row>
    <row r="383" spans="7:8" ht="12.75">
      <c r="G383" s="28"/>
      <c r="H383" s="28"/>
    </row>
    <row r="384" spans="7:8" ht="12.75">
      <c r="G384" s="28"/>
      <c r="H384" s="28"/>
    </row>
    <row r="385" spans="7:8" ht="12.75">
      <c r="G385" s="28"/>
      <c r="H385" s="28"/>
    </row>
    <row r="386" spans="7:8" ht="12.75">
      <c r="G386" s="28"/>
      <c r="H386" s="28"/>
    </row>
    <row r="387" spans="7:8" ht="12.75">
      <c r="G387" s="28"/>
      <c r="H387" s="28"/>
    </row>
    <row r="388" spans="7:8" ht="12.75">
      <c r="G388" s="28"/>
      <c r="H388" s="28"/>
    </row>
    <row r="389" spans="7:8" ht="12.75">
      <c r="G389" s="28"/>
      <c r="H389" s="28"/>
    </row>
    <row r="390" spans="7:8" ht="12.75">
      <c r="G390" s="28"/>
      <c r="H390" s="28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7:E16">
    <cfRule type="cellIs" priority="1" dxfId="0" operator="lessThan" stopIfTrue="1">
      <formula>0</formula>
    </cfRule>
  </conditionalFormatting>
  <printOptions/>
  <pageMargins left="0.5" right="0.16" top="0.4" bottom="0.34" header="0.32" footer="0.18"/>
  <pageSetup fitToHeight="2" fitToWidth="1" horizontalDpi="600" verticalDpi="600" orientation="portrait" paperSize="9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1">
      <selection activeCell="R35" sqref="R35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фінансування'!C134</f>
        <v>627326.8</v>
      </c>
    </row>
    <row r="2" spans="1:5" ht="15.75">
      <c r="A2" s="4"/>
      <c r="B2" s="4"/>
      <c r="C2" s="4"/>
      <c r="D2" s="4" t="s">
        <v>39</v>
      </c>
      <c r="E2" s="5">
        <f>'аналіз фінансування'!D134</f>
        <v>144008.5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R20" sqref="R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21" sqref="Q2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Q23" sqref="Q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25" sqref="Q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5" sqref="R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P25" sqref="P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Q22" sqref="Q22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Q31" sqref="Q31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фінансування'!C134</f>
        <v>627326.8</v>
      </c>
    </row>
    <row r="2" spans="1:5" ht="15.75">
      <c r="A2" s="4"/>
      <c r="B2" s="4"/>
      <c r="C2" s="4"/>
      <c r="D2" s="4" t="s">
        <v>39</v>
      </c>
      <c r="E2" s="5">
        <f>'аналіз фінансування'!D134</f>
        <v>144008.5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2014-03-03T07:27:33Z</cp:lastPrinted>
  <dcterms:created xsi:type="dcterms:W3CDTF">2000-06-20T04:48:00Z</dcterms:created>
  <dcterms:modified xsi:type="dcterms:W3CDTF">2014-03-31T05:03:26Z</dcterms:modified>
  <cp:category/>
  <cp:version/>
  <cp:contentType/>
  <cp:contentStatus/>
</cp:coreProperties>
</file>